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330" yWindow="1395" windowWidth="15480" windowHeight="6090"/>
  </bookViews>
  <sheets>
    <sheet name="Summary Page" sheetId="1" r:id="rId1"/>
    <sheet name="Detail Route Page" sheetId="2" r:id="rId2"/>
    <sheet name="8-15" sheetId="5" r:id="rId3"/>
    <sheet name="8-16" sheetId="7" r:id="rId4"/>
    <sheet name="8-17" sheetId="8" r:id="rId5"/>
    <sheet name="8-18" sheetId="9" r:id="rId6"/>
    <sheet name="8-19" sheetId="10" r:id="rId7"/>
    <sheet name="8-20" sheetId="11" r:id="rId8"/>
    <sheet name="8-21" sheetId="12" r:id="rId9"/>
    <sheet name="8-22" sheetId="13" r:id="rId10"/>
    <sheet name="8-23" sheetId="14" r:id="rId11"/>
    <sheet name="8-24" sheetId="15" r:id="rId12"/>
    <sheet name="8-25" sheetId="16" r:id="rId13"/>
    <sheet name="8-26" sheetId="17" r:id="rId14"/>
    <sheet name="8-27" sheetId="18" r:id="rId15"/>
    <sheet name="8-28" sheetId="19" r:id="rId16"/>
    <sheet name="8-29" sheetId="20" r:id="rId17"/>
    <sheet name="8-30" sheetId="21" r:id="rId18"/>
    <sheet name="8-31" sheetId="22" r:id="rId19"/>
    <sheet name="9-1" sheetId="23" r:id="rId20"/>
    <sheet name="9-2" sheetId="24" r:id="rId21"/>
    <sheet name="9-3" sheetId="25" r:id="rId22"/>
    <sheet name="Extra" sheetId="26" r:id="rId23"/>
  </sheets>
  <definedNames>
    <definedName name="Knots">'Detail Route Page'!$M$4:$P$11</definedName>
    <definedName name="Plan_Speed">'Detail Route Page'!$K$10</definedName>
    <definedName name="_xlnm.Print_Area" localSheetId="1">'Detail Route Page'!$A$1:$P$207</definedName>
    <definedName name="_xlnm.Print_Area" localSheetId="0">'Summary Page'!$A$1:$L$51</definedName>
  </definedNames>
  <calcPr calcId="124519"/>
</workbook>
</file>

<file path=xl/calcChain.xml><?xml version="1.0" encoding="utf-8"?>
<calcChain xmlns="http://schemas.openxmlformats.org/spreadsheetml/2006/main">
  <c r="J39" i="1"/>
  <c r="J38"/>
  <c r="P33"/>
  <c r="O33"/>
  <c r="L33"/>
  <c r="G33"/>
  <c r="M33" s="1"/>
  <c r="L34"/>
  <c r="L32"/>
  <c r="L31"/>
  <c r="L30"/>
  <c r="P31"/>
  <c r="O31"/>
  <c r="G31"/>
  <c r="M31" s="1"/>
  <c r="L29"/>
  <c r="P29"/>
  <c r="O29"/>
  <c r="G29"/>
  <c r="M29" s="1"/>
  <c r="L28"/>
  <c r="L27"/>
  <c r="L26"/>
  <c r="P25"/>
  <c r="O25"/>
  <c r="L25"/>
  <c r="G25"/>
  <c r="M25" s="1"/>
  <c r="L19"/>
  <c r="L17"/>
  <c r="L24"/>
  <c r="L23"/>
  <c r="L22"/>
  <c r="L21"/>
  <c r="L20"/>
  <c r="L18"/>
  <c r="L16"/>
  <c r="L15"/>
  <c r="L14"/>
  <c r="L13"/>
  <c r="L12"/>
  <c r="L11"/>
  <c r="L10"/>
  <c r="L9"/>
  <c r="L8"/>
  <c r="P19"/>
  <c r="O19"/>
  <c r="G19"/>
  <c r="M19" s="1"/>
  <c r="I16"/>
  <c r="P17"/>
  <c r="O17"/>
  <c r="G17"/>
  <c r="M17" s="1"/>
  <c r="P15"/>
  <c r="O15"/>
  <c r="G15"/>
  <c r="M15" s="1"/>
  <c r="I13"/>
  <c r="I36"/>
  <c r="H36"/>
  <c r="V35"/>
  <c r="Q34"/>
  <c r="P34"/>
  <c r="O34"/>
  <c r="J34"/>
  <c r="G34"/>
  <c r="M34" s="1"/>
  <c r="P32"/>
  <c r="O32"/>
  <c r="G32"/>
  <c r="M32" s="1"/>
  <c r="P30"/>
  <c r="O30"/>
  <c r="G30"/>
  <c r="M30" s="1"/>
  <c r="P28"/>
  <c r="O28"/>
  <c r="G28"/>
  <c r="M28" s="1"/>
  <c r="P27"/>
  <c r="O27"/>
  <c r="G27"/>
  <c r="M27" s="1"/>
  <c r="P26"/>
  <c r="O26"/>
  <c r="G26"/>
  <c r="M26" s="1"/>
  <c r="P24"/>
  <c r="O24"/>
  <c r="G24"/>
  <c r="M24" s="1"/>
  <c r="P23"/>
  <c r="O23"/>
  <c r="G23"/>
  <c r="M23" s="1"/>
  <c r="P22"/>
  <c r="O22"/>
  <c r="G22"/>
  <c r="M22" s="1"/>
  <c r="P21"/>
  <c r="O21"/>
  <c r="G21"/>
  <c r="M21" s="1"/>
  <c r="P20"/>
  <c r="O20"/>
  <c r="G20"/>
  <c r="M20" s="1"/>
  <c r="P18"/>
  <c r="O18"/>
  <c r="G18"/>
  <c r="M18" s="1"/>
  <c r="P16"/>
  <c r="O16"/>
  <c r="G16"/>
  <c r="M16" s="1"/>
  <c r="P14"/>
  <c r="O14"/>
  <c r="G14"/>
  <c r="M14" s="1"/>
  <c r="P13"/>
  <c r="O13"/>
  <c r="G13"/>
  <c r="M13" s="1"/>
  <c r="P12"/>
  <c r="O12"/>
  <c r="G12"/>
  <c r="M12" s="1"/>
  <c r="P11"/>
  <c r="O11"/>
  <c r="G11"/>
  <c r="M11" s="1"/>
  <c r="P10"/>
  <c r="O10"/>
  <c r="G10"/>
  <c r="M10" s="1"/>
  <c r="P9"/>
  <c r="O9"/>
  <c r="G9"/>
  <c r="M9" s="1"/>
  <c r="P8"/>
  <c r="O8"/>
  <c r="G8"/>
  <c r="M8" s="1"/>
  <c r="Q7"/>
  <c r="P7"/>
  <c r="O7"/>
  <c r="L7"/>
  <c r="L36" s="1"/>
  <c r="J7"/>
  <c r="G7"/>
  <c r="M7" s="1"/>
  <c r="V6"/>
  <c r="V5"/>
  <c r="V4"/>
  <c r="V3"/>
  <c r="B8" i="25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24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23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22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21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20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19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18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17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16"/>
  <c r="J7"/>
  <c r="G7"/>
  <c r="F7"/>
  <c r="E7"/>
  <c r="C7"/>
  <c r="G6"/>
  <c r="C6"/>
  <c r="E6" s="1"/>
  <c r="F6" s="1"/>
  <c r="J5"/>
  <c r="J6" s="1"/>
  <c r="G5"/>
  <c r="C5"/>
  <c r="E5" s="1"/>
  <c r="F5" s="1"/>
  <c r="J4" s="1"/>
  <c r="J3" s="1"/>
  <c r="G4"/>
  <c r="F4"/>
  <c r="E4"/>
  <c r="C4"/>
  <c r="J7" i="15"/>
  <c r="G7"/>
  <c r="F7"/>
  <c r="E7"/>
  <c r="C7"/>
  <c r="J6"/>
  <c r="G6"/>
  <c r="F6"/>
  <c r="E6"/>
  <c r="C6"/>
  <c r="J5"/>
  <c r="C5"/>
  <c r="E5" s="1"/>
  <c r="F5" s="1"/>
  <c r="B5"/>
  <c r="B8" s="1"/>
  <c r="J4"/>
  <c r="C4"/>
  <c r="E4" s="1"/>
  <c r="F4" s="1"/>
  <c r="J3"/>
  <c r="B9" i="14"/>
  <c r="J8"/>
  <c r="G8"/>
  <c r="F8"/>
  <c r="E8"/>
  <c r="C8"/>
  <c r="J7"/>
  <c r="G7"/>
  <c r="F7"/>
  <c r="E7"/>
  <c r="G6"/>
  <c r="C6"/>
  <c r="E6" s="1"/>
  <c r="F6" s="1"/>
  <c r="J5"/>
  <c r="G5"/>
  <c r="C5"/>
  <c r="E5" s="1"/>
  <c r="F5" s="1"/>
  <c r="G4"/>
  <c r="F4"/>
  <c r="E4"/>
  <c r="C4"/>
  <c r="B9" i="13"/>
  <c r="J8"/>
  <c r="G8"/>
  <c r="F8"/>
  <c r="E8"/>
  <c r="C8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9" i="12"/>
  <c r="J8"/>
  <c r="G8"/>
  <c r="F8"/>
  <c r="E8"/>
  <c r="C8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11"/>
  <c r="J7"/>
  <c r="G7"/>
  <c r="F7"/>
  <c r="E7"/>
  <c r="C7"/>
  <c r="G6"/>
  <c r="C6"/>
  <c r="E6" s="1"/>
  <c r="F6" s="1"/>
  <c r="B6"/>
  <c r="J5"/>
  <c r="G5"/>
  <c r="C5"/>
  <c r="E5" s="1"/>
  <c r="F5" s="1"/>
  <c r="J4" s="1"/>
  <c r="J3" s="1"/>
  <c r="G4"/>
  <c r="F4"/>
  <c r="E4"/>
  <c r="C4"/>
  <c r="B8" i="10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8" i="9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9" i="8"/>
  <c r="J8"/>
  <c r="G8"/>
  <c r="F8"/>
  <c r="E8"/>
  <c r="C8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9" i="7"/>
  <c r="J8"/>
  <c r="G8"/>
  <c r="F8"/>
  <c r="E8"/>
  <c r="C8"/>
  <c r="J7"/>
  <c r="G7"/>
  <c r="F7"/>
  <c r="E7"/>
  <c r="C7"/>
  <c r="G6"/>
  <c r="C6"/>
  <c r="E6" s="1"/>
  <c r="F6" s="1"/>
  <c r="J5"/>
  <c r="J6" s="1"/>
  <c r="G5"/>
  <c r="C5"/>
  <c r="E5" s="1"/>
  <c r="F5" s="1"/>
  <c r="J4" s="1"/>
  <c r="J3" s="1"/>
  <c r="G4"/>
  <c r="F4"/>
  <c r="E4"/>
  <c r="C4"/>
  <c r="B8" i="5"/>
  <c r="J7"/>
  <c r="G7"/>
  <c r="F7"/>
  <c r="E7"/>
  <c r="C7"/>
  <c r="J6"/>
  <c r="G6"/>
  <c r="F6"/>
  <c r="E6"/>
  <c r="C6"/>
  <c r="J5"/>
  <c r="G5"/>
  <c r="F5"/>
  <c r="E5"/>
  <c r="C5"/>
  <c r="J4"/>
  <c r="C4"/>
  <c r="E4" s="1"/>
  <c r="F4" s="1"/>
  <c r="J3"/>
  <c r="B112" i="2"/>
  <c r="J33" i="1" l="1"/>
  <c r="Q33"/>
  <c r="V33"/>
  <c r="J32"/>
  <c r="Q32"/>
  <c r="J31"/>
  <c r="Q31"/>
  <c r="V31"/>
  <c r="J30"/>
  <c r="Q30"/>
  <c r="J29"/>
  <c r="Q29"/>
  <c r="V29"/>
  <c r="J28"/>
  <c r="Q28"/>
  <c r="J27"/>
  <c r="Q27"/>
  <c r="J26"/>
  <c r="Q26"/>
  <c r="J25"/>
  <c r="Q25"/>
  <c r="V25"/>
  <c r="J24"/>
  <c r="Q24"/>
  <c r="J23"/>
  <c r="Q23"/>
  <c r="J22"/>
  <c r="Q22"/>
  <c r="J21"/>
  <c r="Q21"/>
  <c r="J20"/>
  <c r="Q20"/>
  <c r="J19"/>
  <c r="Q19"/>
  <c r="V19"/>
  <c r="J18"/>
  <c r="Q18"/>
  <c r="J17"/>
  <c r="Q17"/>
  <c r="V17"/>
  <c r="J16"/>
  <c r="Q16"/>
  <c r="J15"/>
  <c r="Q15"/>
  <c r="M36"/>
  <c r="M38" s="1"/>
  <c r="V15"/>
  <c r="J14"/>
  <c r="Q14"/>
  <c r="V16"/>
  <c r="V18"/>
  <c r="V20"/>
  <c r="V21"/>
  <c r="V22"/>
  <c r="V23"/>
  <c r="V24"/>
  <c r="V26"/>
  <c r="V27"/>
  <c r="V28"/>
  <c r="V30"/>
  <c r="V32"/>
  <c r="V34"/>
  <c r="V14"/>
  <c r="J13"/>
  <c r="Q13"/>
  <c r="F9" i="13"/>
  <c r="G4"/>
  <c r="J6" i="14"/>
  <c r="V13" i="1"/>
  <c r="J12"/>
  <c r="Q12"/>
  <c r="V12"/>
  <c r="J11"/>
  <c r="Q11"/>
  <c r="V11"/>
  <c r="J10"/>
  <c r="Q10"/>
  <c r="J9"/>
  <c r="Q9"/>
  <c r="J8"/>
  <c r="Q8"/>
  <c r="J36"/>
  <c r="V10"/>
  <c r="V9"/>
  <c r="V8"/>
  <c r="V7"/>
  <c r="V36"/>
  <c r="L38"/>
  <c r="F8" i="11"/>
  <c r="F8" i="25"/>
  <c r="G4"/>
  <c r="F8" i="24"/>
  <c r="G4"/>
  <c r="F8" i="23"/>
  <c r="G4"/>
  <c r="G4" i="22"/>
  <c r="F8"/>
  <c r="G4" i="21"/>
  <c r="F8"/>
  <c r="G4" i="20"/>
  <c r="F8"/>
  <c r="F8" i="19"/>
  <c r="G4"/>
  <c r="G4" i="18"/>
  <c r="F8"/>
  <c r="F8" i="17"/>
  <c r="G4"/>
  <c r="F8" i="16"/>
  <c r="F8" i="15"/>
  <c r="G4"/>
  <c r="G5" s="1"/>
  <c r="J4" i="14"/>
  <c r="J3" s="1"/>
  <c r="F9"/>
  <c r="F9" i="12"/>
  <c r="G4"/>
  <c r="J6" i="11"/>
  <c r="F8" i="10"/>
  <c r="G4"/>
  <c r="F8" i="9"/>
  <c r="G4"/>
  <c r="F9" i="8"/>
  <c r="G4"/>
  <c r="F9" i="7"/>
  <c r="F8" i="5"/>
  <c r="G4"/>
  <c r="B68" i="2" l="1"/>
  <c r="J38"/>
  <c r="J37"/>
  <c r="J36" s="1"/>
  <c r="J28"/>
  <c r="C194"/>
  <c r="C158"/>
  <c r="C132"/>
  <c r="C113"/>
  <c r="C112"/>
  <c r="C77"/>
  <c r="C57"/>
  <c r="C29"/>
  <c r="B162" l="1"/>
  <c r="B207"/>
  <c r="P206"/>
  <c r="O206"/>
  <c r="N206"/>
  <c r="M206"/>
  <c r="L206"/>
  <c r="J206"/>
  <c r="G206"/>
  <c r="F206"/>
  <c r="E206"/>
  <c r="C206"/>
  <c r="P205"/>
  <c r="O205"/>
  <c r="N205"/>
  <c r="M205"/>
  <c r="L205"/>
  <c r="J205"/>
  <c r="G205"/>
  <c r="F205"/>
  <c r="E205"/>
  <c r="C205"/>
  <c r="P204"/>
  <c r="O204"/>
  <c r="N204"/>
  <c r="M204"/>
  <c r="L204"/>
  <c r="J204"/>
  <c r="G204"/>
  <c r="F204"/>
  <c r="E204"/>
  <c r="C204"/>
  <c r="J203"/>
  <c r="C203"/>
  <c r="E203" s="1"/>
  <c r="F203" s="1"/>
  <c r="J202"/>
  <c r="B198"/>
  <c r="P197"/>
  <c r="O197"/>
  <c r="N197"/>
  <c r="M197"/>
  <c r="L197"/>
  <c r="J197"/>
  <c r="G197"/>
  <c r="F197"/>
  <c r="E197"/>
  <c r="C197"/>
  <c r="P196"/>
  <c r="O196"/>
  <c r="N196"/>
  <c r="M196"/>
  <c r="L196"/>
  <c r="J196"/>
  <c r="G196"/>
  <c r="F196"/>
  <c r="E196"/>
  <c r="C196"/>
  <c r="J195"/>
  <c r="C195"/>
  <c r="E195" s="1"/>
  <c r="F195" s="1"/>
  <c r="J194"/>
  <c r="E194"/>
  <c r="F194" s="1"/>
  <c r="J193"/>
  <c r="B189"/>
  <c r="P188"/>
  <c r="O188"/>
  <c r="N188"/>
  <c r="M188"/>
  <c r="L188"/>
  <c r="J188"/>
  <c r="G188"/>
  <c r="F188"/>
  <c r="E188"/>
  <c r="C188"/>
  <c r="P187"/>
  <c r="O187"/>
  <c r="N187"/>
  <c r="M187"/>
  <c r="L187"/>
  <c r="J187"/>
  <c r="G187"/>
  <c r="F187"/>
  <c r="E187"/>
  <c r="C187"/>
  <c r="M186"/>
  <c r="J186"/>
  <c r="C186"/>
  <c r="E186" s="1"/>
  <c r="F186" s="1"/>
  <c r="J185"/>
  <c r="C185"/>
  <c r="E185" s="1"/>
  <c r="F185" s="1"/>
  <c r="J184"/>
  <c r="B180"/>
  <c r="P179"/>
  <c r="O179"/>
  <c r="N179"/>
  <c r="M179"/>
  <c r="L179"/>
  <c r="J179"/>
  <c r="G179"/>
  <c r="F179"/>
  <c r="E179"/>
  <c r="C179"/>
  <c r="P178"/>
  <c r="O178"/>
  <c r="N178"/>
  <c r="M178"/>
  <c r="L178"/>
  <c r="J178"/>
  <c r="G178"/>
  <c r="F178"/>
  <c r="E178"/>
  <c r="C178"/>
  <c r="P177"/>
  <c r="O177"/>
  <c r="N177"/>
  <c r="M177"/>
  <c r="L177"/>
  <c r="J177"/>
  <c r="G177"/>
  <c r="F177"/>
  <c r="E177"/>
  <c r="C177"/>
  <c r="J176"/>
  <c r="C176"/>
  <c r="E176" s="1"/>
  <c r="F176" s="1"/>
  <c r="J175"/>
  <c r="B171"/>
  <c r="P170"/>
  <c r="O170"/>
  <c r="N170"/>
  <c r="M170"/>
  <c r="L170"/>
  <c r="J170"/>
  <c r="G170"/>
  <c r="F170"/>
  <c r="E170"/>
  <c r="C170"/>
  <c r="P169"/>
  <c r="O169"/>
  <c r="N169"/>
  <c r="M169"/>
  <c r="L169"/>
  <c r="J169"/>
  <c r="G169"/>
  <c r="F169"/>
  <c r="E169"/>
  <c r="C169"/>
  <c r="P168"/>
  <c r="O168"/>
  <c r="N168"/>
  <c r="M168"/>
  <c r="L168"/>
  <c r="J168"/>
  <c r="G168"/>
  <c r="F168"/>
  <c r="E168"/>
  <c r="C168"/>
  <c r="J167"/>
  <c r="C167"/>
  <c r="E167" s="1"/>
  <c r="F167" s="1"/>
  <c r="J166"/>
  <c r="P161"/>
  <c r="O161"/>
  <c r="N161"/>
  <c r="M161"/>
  <c r="L161"/>
  <c r="J161"/>
  <c r="G161"/>
  <c r="F161"/>
  <c r="E161"/>
  <c r="C161"/>
  <c r="J160"/>
  <c r="C160"/>
  <c r="M160" s="1"/>
  <c r="J159"/>
  <c r="C159"/>
  <c r="N159" s="1"/>
  <c r="M158"/>
  <c r="J158"/>
  <c r="E158"/>
  <c r="F158" s="1"/>
  <c r="N158"/>
  <c r="J157"/>
  <c r="C151"/>
  <c r="M151" s="1"/>
  <c r="C150"/>
  <c r="C149"/>
  <c r="M149" s="1"/>
  <c r="C131"/>
  <c r="L131" s="1"/>
  <c r="C123"/>
  <c r="C122"/>
  <c r="N122" s="1"/>
  <c r="B115"/>
  <c r="C111"/>
  <c r="N111" s="1"/>
  <c r="B93"/>
  <c r="C89"/>
  <c r="M89" s="1"/>
  <c r="B81"/>
  <c r="C80"/>
  <c r="C79"/>
  <c r="C78"/>
  <c r="N78" s="1"/>
  <c r="E77"/>
  <c r="C76"/>
  <c r="E76" s="1"/>
  <c r="F76" s="1"/>
  <c r="C38"/>
  <c r="M38" s="1"/>
  <c r="C37"/>
  <c r="M37" s="1"/>
  <c r="B32"/>
  <c r="F152"/>
  <c r="C152"/>
  <c r="B60"/>
  <c r="C88"/>
  <c r="M88" s="1"/>
  <c r="C92"/>
  <c r="M92"/>
  <c r="N91"/>
  <c r="L91"/>
  <c r="G91"/>
  <c r="E91"/>
  <c r="F91"/>
  <c r="C91"/>
  <c r="M91"/>
  <c r="C90"/>
  <c r="E90" s="1"/>
  <c r="F90" s="1"/>
  <c r="J89"/>
  <c r="C19"/>
  <c r="E19" s="1"/>
  <c r="F19" s="1"/>
  <c r="G79"/>
  <c r="N77"/>
  <c r="M79"/>
  <c r="P69"/>
  <c r="O69"/>
  <c r="N69"/>
  <c r="M69"/>
  <c r="L69"/>
  <c r="J69"/>
  <c r="G69"/>
  <c r="F69"/>
  <c r="E69"/>
  <c r="C69"/>
  <c r="G68"/>
  <c r="C68"/>
  <c r="L68" s="1"/>
  <c r="J67"/>
  <c r="C67"/>
  <c r="M67" s="1"/>
  <c r="C66"/>
  <c r="L66" s="1"/>
  <c r="B22"/>
  <c r="W5"/>
  <c r="W7" s="1"/>
  <c r="B144"/>
  <c r="B51"/>
  <c r="B135"/>
  <c r="B126"/>
  <c r="B104"/>
  <c r="N102"/>
  <c r="M102"/>
  <c r="L102"/>
  <c r="E102"/>
  <c r="F102"/>
  <c r="B70"/>
  <c r="B42"/>
  <c r="G40"/>
  <c r="G30"/>
  <c r="J40"/>
  <c r="P40"/>
  <c r="O40"/>
  <c r="N40"/>
  <c r="M40"/>
  <c r="L40"/>
  <c r="F40"/>
  <c r="E40"/>
  <c r="C40"/>
  <c r="C30"/>
  <c r="L30" s="1"/>
  <c r="J151"/>
  <c r="J143"/>
  <c r="J134"/>
  <c r="J125"/>
  <c r="J59"/>
  <c r="J58"/>
  <c r="J41"/>
  <c r="J31"/>
  <c r="J21"/>
  <c r="J20"/>
  <c r="J19"/>
  <c r="J18"/>
  <c r="J17"/>
  <c r="N152"/>
  <c r="M152"/>
  <c r="L152"/>
  <c r="E152"/>
  <c r="N151"/>
  <c r="L151"/>
  <c r="E151"/>
  <c r="F151" s="1"/>
  <c r="J150"/>
  <c r="N150"/>
  <c r="P143"/>
  <c r="O143"/>
  <c r="N143"/>
  <c r="M143"/>
  <c r="L143"/>
  <c r="G143"/>
  <c r="F143"/>
  <c r="E143"/>
  <c r="C143"/>
  <c r="G142"/>
  <c r="C142"/>
  <c r="M142" s="1"/>
  <c r="J141"/>
  <c r="C141"/>
  <c r="E141" s="1"/>
  <c r="F141" s="1"/>
  <c r="G141" s="1"/>
  <c r="C140"/>
  <c r="L140" s="1"/>
  <c r="P134"/>
  <c r="O134"/>
  <c r="N134"/>
  <c r="M134"/>
  <c r="L134"/>
  <c r="G134"/>
  <c r="F134"/>
  <c r="E134"/>
  <c r="C134"/>
  <c r="C133"/>
  <c r="E133" s="1"/>
  <c r="F133" s="1"/>
  <c r="N133"/>
  <c r="J132"/>
  <c r="N132"/>
  <c r="N131"/>
  <c r="P125"/>
  <c r="O125"/>
  <c r="N125"/>
  <c r="M125"/>
  <c r="L125"/>
  <c r="G125"/>
  <c r="F125"/>
  <c r="E125"/>
  <c r="C125"/>
  <c r="C124"/>
  <c r="L124" s="1"/>
  <c r="J123"/>
  <c r="M123"/>
  <c r="C114"/>
  <c r="E114" s="1"/>
  <c r="M113"/>
  <c r="J112"/>
  <c r="E112"/>
  <c r="F112" s="1"/>
  <c r="J111" s="1"/>
  <c r="J110" s="1"/>
  <c r="G103"/>
  <c r="C103"/>
  <c r="L103"/>
  <c r="C101"/>
  <c r="L101" s="1"/>
  <c r="J100"/>
  <c r="C100"/>
  <c r="C99"/>
  <c r="N99" s="1"/>
  <c r="M80"/>
  <c r="J77"/>
  <c r="P59"/>
  <c r="O59"/>
  <c r="N59"/>
  <c r="M59"/>
  <c r="L59"/>
  <c r="G59"/>
  <c r="F59"/>
  <c r="E59"/>
  <c r="C59"/>
  <c r="C58"/>
  <c r="J57"/>
  <c r="L57"/>
  <c r="J56"/>
  <c r="C56"/>
  <c r="N56" s="1"/>
  <c r="J55"/>
  <c r="G50"/>
  <c r="C50"/>
  <c r="M50" s="1"/>
  <c r="G49"/>
  <c r="C49"/>
  <c r="N49" s="1"/>
  <c r="J48"/>
  <c r="C48"/>
  <c r="L48" s="1"/>
  <c r="C47"/>
  <c r="N47" s="1"/>
  <c r="P41"/>
  <c r="O41"/>
  <c r="N41"/>
  <c r="M41"/>
  <c r="L41"/>
  <c r="G41"/>
  <c r="F41"/>
  <c r="E41"/>
  <c r="C41"/>
  <c r="C39"/>
  <c r="L39" s="1"/>
  <c r="E37"/>
  <c r="F37" s="1"/>
  <c r="G39"/>
  <c r="G31"/>
  <c r="G27"/>
  <c r="G28" s="1"/>
  <c r="G29" s="1"/>
  <c r="C31"/>
  <c r="L29"/>
  <c r="C28"/>
  <c r="E28" s="1"/>
  <c r="F28" s="1"/>
  <c r="J27" s="1"/>
  <c r="C27"/>
  <c r="N27" s="1"/>
  <c r="C21"/>
  <c r="E21"/>
  <c r="F21"/>
  <c r="C18"/>
  <c r="L18" s="1"/>
  <c r="F31"/>
  <c r="E31"/>
  <c r="P31"/>
  <c r="O31"/>
  <c r="N31"/>
  <c r="M31"/>
  <c r="L31"/>
  <c r="C20"/>
  <c r="L20"/>
  <c r="L27"/>
  <c r="M21"/>
  <c r="O21"/>
  <c r="P21"/>
  <c r="L21"/>
  <c r="G21"/>
  <c r="N21"/>
  <c r="M29"/>
  <c r="E29"/>
  <c r="F29" s="1"/>
  <c r="N29"/>
  <c r="G102"/>
  <c r="G101"/>
  <c r="N103"/>
  <c r="E103"/>
  <c r="E111"/>
  <c r="F111" s="1"/>
  <c r="L150"/>
  <c r="L122"/>
  <c r="L113"/>
  <c r="N113"/>
  <c r="E113"/>
  <c r="F113" s="1"/>
  <c r="M103"/>
  <c r="M77"/>
  <c r="N57"/>
  <c r="N76"/>
  <c r="F103"/>
  <c r="O103"/>
  <c r="P103"/>
  <c r="J103"/>
  <c r="L133"/>
  <c r="M133"/>
  <c r="J102"/>
  <c r="M76"/>
  <c r="M20"/>
  <c r="L76"/>
  <c r="M57"/>
  <c r="E57"/>
  <c r="F57" s="1"/>
  <c r="O102"/>
  <c r="U102" s="1"/>
  <c r="P102"/>
  <c r="T102" s="1"/>
  <c r="J133"/>
  <c r="M141"/>
  <c r="N20"/>
  <c r="E20"/>
  <c r="F20"/>
  <c r="G80"/>
  <c r="J131"/>
  <c r="J130"/>
  <c r="O20"/>
  <c r="P20"/>
  <c r="M18"/>
  <c r="M39"/>
  <c r="L47"/>
  <c r="N80"/>
  <c r="N66"/>
  <c r="M112"/>
  <c r="M66"/>
  <c r="E18"/>
  <c r="F18" s="1"/>
  <c r="E66"/>
  <c r="F66" s="1"/>
  <c r="G66" s="1"/>
  <c r="G20"/>
  <c r="L28"/>
  <c r="E150"/>
  <c r="F150"/>
  <c r="M150"/>
  <c r="L90"/>
  <c r="E89"/>
  <c r="F89" s="1"/>
  <c r="J88"/>
  <c r="J87"/>
  <c r="E92"/>
  <c r="F92"/>
  <c r="L89"/>
  <c r="O92"/>
  <c r="P92"/>
  <c r="N92"/>
  <c r="J90"/>
  <c r="L92"/>
  <c r="J91"/>
  <c r="J92"/>
  <c r="O91"/>
  <c r="P91"/>
  <c r="N89"/>
  <c r="G92"/>
  <c r="O152"/>
  <c r="P152"/>
  <c r="J152"/>
  <c r="J149"/>
  <c r="J148"/>
  <c r="B153"/>
  <c r="G152"/>
  <c r="L111" l="1"/>
  <c r="N68"/>
  <c r="M28"/>
  <c r="O28" s="1"/>
  <c r="P28" s="1"/>
  <c r="L203"/>
  <c r="M203"/>
  <c r="O203" s="1"/>
  <c r="S202" s="1"/>
  <c r="N203"/>
  <c r="E122"/>
  <c r="F122" s="1"/>
  <c r="G122" s="1"/>
  <c r="M122"/>
  <c r="O122" s="1"/>
  <c r="M111"/>
  <c r="O111" s="1"/>
  <c r="E27"/>
  <c r="F27" s="1"/>
  <c r="J26" s="1"/>
  <c r="M27"/>
  <c r="N18"/>
  <c r="O76"/>
  <c r="P76" s="1"/>
  <c r="G76"/>
  <c r="E50"/>
  <c r="F50" s="1"/>
  <c r="L186"/>
  <c r="L167"/>
  <c r="L50"/>
  <c r="N50"/>
  <c r="E131"/>
  <c r="F131" s="1"/>
  <c r="M131"/>
  <c r="L195"/>
  <c r="M195"/>
  <c r="O195" s="1"/>
  <c r="P195" s="1"/>
  <c r="N195"/>
  <c r="L194"/>
  <c r="O186"/>
  <c r="P186" s="1"/>
  <c r="N186"/>
  <c r="L185"/>
  <c r="N160"/>
  <c r="E160"/>
  <c r="F160" s="1"/>
  <c r="O160" s="1"/>
  <c r="P160" s="1"/>
  <c r="L160"/>
  <c r="E159"/>
  <c r="F159" s="1"/>
  <c r="L159"/>
  <c r="M159"/>
  <c r="O133"/>
  <c r="P133" s="1"/>
  <c r="N142"/>
  <c r="E142"/>
  <c r="F142" s="1"/>
  <c r="J142" s="1"/>
  <c r="L142"/>
  <c r="J140"/>
  <c r="J139" s="1"/>
  <c r="O141"/>
  <c r="P141" s="1"/>
  <c r="L141"/>
  <c r="N141"/>
  <c r="F198"/>
  <c r="G194"/>
  <c r="G195" s="1"/>
  <c r="F207"/>
  <c r="G203"/>
  <c r="P203"/>
  <c r="M194"/>
  <c r="O194" s="1"/>
  <c r="N194"/>
  <c r="F180"/>
  <c r="G176"/>
  <c r="F189"/>
  <c r="G185"/>
  <c r="G186" s="1"/>
  <c r="M185"/>
  <c r="O185" s="1"/>
  <c r="L176"/>
  <c r="N185"/>
  <c r="M176"/>
  <c r="O176" s="1"/>
  <c r="N176"/>
  <c r="G158"/>
  <c r="O158"/>
  <c r="F171"/>
  <c r="G167"/>
  <c r="M167"/>
  <c r="O167" s="1"/>
  <c r="L158"/>
  <c r="N167"/>
  <c r="J113"/>
  <c r="F114"/>
  <c r="O112"/>
  <c r="P112" s="1"/>
  <c r="L114"/>
  <c r="M114"/>
  <c r="O114" s="1"/>
  <c r="P114" s="1"/>
  <c r="N114"/>
  <c r="O113"/>
  <c r="N101"/>
  <c r="E101"/>
  <c r="F101" s="1"/>
  <c r="J101" s="1"/>
  <c r="M101"/>
  <c r="O89"/>
  <c r="P89" s="1"/>
  <c r="F77"/>
  <c r="G77" s="1"/>
  <c r="J76"/>
  <c r="L77"/>
  <c r="J75"/>
  <c r="O50"/>
  <c r="P50" s="1"/>
  <c r="E49"/>
  <c r="F49" s="1"/>
  <c r="J49" s="1"/>
  <c r="J50" s="1"/>
  <c r="L49"/>
  <c r="M49"/>
  <c r="L38"/>
  <c r="N38"/>
  <c r="N39"/>
  <c r="E39"/>
  <c r="F39" s="1"/>
  <c r="J39" s="1"/>
  <c r="L80"/>
  <c r="E80"/>
  <c r="F80" s="1"/>
  <c r="O80" s="1"/>
  <c r="P80" s="1"/>
  <c r="M99"/>
  <c r="L56"/>
  <c r="N149"/>
  <c r="L78"/>
  <c r="M19"/>
  <c r="O19" s="1"/>
  <c r="M132"/>
  <c r="L132"/>
  <c r="E68"/>
  <c r="F68" s="1"/>
  <c r="J68" s="1"/>
  <c r="M47"/>
  <c r="E132"/>
  <c r="F132" s="1"/>
  <c r="M68"/>
  <c r="F115"/>
  <c r="N19"/>
  <c r="L19"/>
  <c r="E47"/>
  <c r="F47" s="1"/>
  <c r="G47" s="1"/>
  <c r="M56"/>
  <c r="O37"/>
  <c r="N79"/>
  <c r="N123"/>
  <c r="N37"/>
  <c r="N28"/>
  <c r="N140"/>
  <c r="M140"/>
  <c r="E123"/>
  <c r="F123" s="1"/>
  <c r="J122" s="1"/>
  <c r="J121" s="1"/>
  <c r="E140"/>
  <c r="F140" s="1"/>
  <c r="G140" s="1"/>
  <c r="E56"/>
  <c r="F56" s="1"/>
  <c r="G56" s="1"/>
  <c r="G57" s="1"/>
  <c r="E99"/>
  <c r="F99" s="1"/>
  <c r="O99" s="1"/>
  <c r="L123"/>
  <c r="L37"/>
  <c r="L99"/>
  <c r="E38"/>
  <c r="F38" s="1"/>
  <c r="O57"/>
  <c r="O29"/>
  <c r="P29" s="1"/>
  <c r="J29"/>
  <c r="O18"/>
  <c r="P18" s="1"/>
  <c r="L79"/>
  <c r="E79"/>
  <c r="F79" s="1"/>
  <c r="O79" s="1"/>
  <c r="M124"/>
  <c r="E124"/>
  <c r="F124" s="1"/>
  <c r="N124"/>
  <c r="O150"/>
  <c r="P150" s="1"/>
  <c r="G37"/>
  <c r="G131"/>
  <c r="O151"/>
  <c r="P151" s="1"/>
  <c r="M58"/>
  <c r="L58"/>
  <c r="E58"/>
  <c r="F58" s="1"/>
  <c r="N58"/>
  <c r="P37"/>
  <c r="G111"/>
  <c r="G112" s="1"/>
  <c r="G113" s="1"/>
  <c r="G114" s="1"/>
  <c r="N100"/>
  <c r="E100"/>
  <c r="F100" s="1"/>
  <c r="L100"/>
  <c r="M100"/>
  <c r="O131"/>
  <c r="O66"/>
  <c r="G18"/>
  <c r="G19" s="1"/>
  <c r="F22"/>
  <c r="E48"/>
  <c r="F48" s="1"/>
  <c r="J47" s="1"/>
  <c r="N112"/>
  <c r="N30"/>
  <c r="E78"/>
  <c r="F78" s="1"/>
  <c r="G78" s="1"/>
  <c r="M90"/>
  <c r="O90" s="1"/>
  <c r="P90" s="1"/>
  <c r="E67"/>
  <c r="F67" s="1"/>
  <c r="N90"/>
  <c r="L88"/>
  <c r="L112"/>
  <c r="M48"/>
  <c r="N48"/>
  <c r="M78"/>
  <c r="M30"/>
  <c r="E149"/>
  <c r="F149" s="1"/>
  <c r="E30"/>
  <c r="F30" s="1"/>
  <c r="N88"/>
  <c r="N67"/>
  <c r="L67"/>
  <c r="L149"/>
  <c r="E88"/>
  <c r="F88" s="1"/>
  <c r="G123" l="1"/>
  <c r="G124" s="1"/>
  <c r="J46"/>
  <c r="O27"/>
  <c r="P27" s="1"/>
  <c r="F135"/>
  <c r="O142"/>
  <c r="P142" s="1"/>
  <c r="O39"/>
  <c r="P39" s="1"/>
  <c r="P57"/>
  <c r="T57" s="1"/>
  <c r="U57"/>
  <c r="O101"/>
  <c r="P101" s="1"/>
  <c r="G159"/>
  <c r="G160" s="1"/>
  <c r="F162"/>
  <c r="O159"/>
  <c r="P159" s="1"/>
  <c r="F144"/>
  <c r="P194"/>
  <c r="S193"/>
  <c r="P202"/>
  <c r="R202" s="1"/>
  <c r="P176"/>
  <c r="P175" s="1"/>
  <c r="R175" s="1"/>
  <c r="S175"/>
  <c r="P185"/>
  <c r="S184"/>
  <c r="P167"/>
  <c r="S166"/>
  <c r="P158"/>
  <c r="S157"/>
  <c r="P122"/>
  <c r="P113"/>
  <c r="T113" s="1"/>
  <c r="U113"/>
  <c r="J114"/>
  <c r="F104"/>
  <c r="J99"/>
  <c r="J98" s="1"/>
  <c r="O78"/>
  <c r="P78" s="1"/>
  <c r="O77"/>
  <c r="J66"/>
  <c r="J65" s="1"/>
  <c r="G67"/>
  <c r="O56"/>
  <c r="P56" s="1"/>
  <c r="F60"/>
  <c r="O49"/>
  <c r="P49" s="1"/>
  <c r="O38"/>
  <c r="O140"/>
  <c r="P140" s="1"/>
  <c r="P139" s="1"/>
  <c r="R139" s="1"/>
  <c r="G99"/>
  <c r="O68"/>
  <c r="P68" s="1"/>
  <c r="F51"/>
  <c r="O47"/>
  <c r="P47" s="1"/>
  <c r="P79"/>
  <c r="F81"/>
  <c r="O123"/>
  <c r="P123" s="1"/>
  <c r="F42"/>
  <c r="G38"/>
  <c r="O132"/>
  <c r="J78"/>
  <c r="J79" s="1"/>
  <c r="J80" s="1"/>
  <c r="F126"/>
  <c r="G132"/>
  <c r="G133" s="1"/>
  <c r="J30"/>
  <c r="O124"/>
  <c r="J124"/>
  <c r="G48"/>
  <c r="O48"/>
  <c r="G100"/>
  <c r="F153"/>
  <c r="G149"/>
  <c r="G150" s="1"/>
  <c r="G151" s="1"/>
  <c r="F93"/>
  <c r="G88"/>
  <c r="G89" s="1"/>
  <c r="G90" s="1"/>
  <c r="O67"/>
  <c r="P67" s="1"/>
  <c r="O149"/>
  <c r="P131"/>
  <c r="F70"/>
  <c r="O30"/>
  <c r="P19"/>
  <c r="S17"/>
  <c r="F32"/>
  <c r="O100"/>
  <c r="P100" s="1"/>
  <c r="O88"/>
  <c r="P111"/>
  <c r="S110"/>
  <c r="P99"/>
  <c r="P66"/>
  <c r="O58"/>
  <c r="G58"/>
  <c r="P132" l="1"/>
  <c r="T132" s="1"/>
  <c r="U132"/>
  <c r="P193"/>
  <c r="R193" s="1"/>
  <c r="P77"/>
  <c r="T77" s="1"/>
  <c r="U77"/>
  <c r="U14" s="1"/>
  <c r="O14" s="1"/>
  <c r="P157"/>
  <c r="R157" s="1"/>
  <c r="P184"/>
  <c r="R184" s="1"/>
  <c r="P166"/>
  <c r="R166" s="1"/>
  <c r="P110"/>
  <c r="R110" s="1"/>
  <c r="S75"/>
  <c r="P38"/>
  <c r="S36"/>
  <c r="S139"/>
  <c r="S130"/>
  <c r="P48"/>
  <c r="P46" s="1"/>
  <c r="R46" s="1"/>
  <c r="S46"/>
  <c r="P124"/>
  <c r="P121" s="1"/>
  <c r="R121" s="1"/>
  <c r="S121"/>
  <c r="P58"/>
  <c r="P55" s="1"/>
  <c r="R55" s="1"/>
  <c r="S55"/>
  <c r="P17"/>
  <c r="R17" s="1"/>
  <c r="P88"/>
  <c r="P87" s="1"/>
  <c r="R87" s="1"/>
  <c r="S87"/>
  <c r="P30"/>
  <c r="P26" s="1"/>
  <c r="R26" s="1"/>
  <c r="S26"/>
  <c r="S65"/>
  <c r="P149"/>
  <c r="S148"/>
  <c r="P65"/>
  <c r="R65" s="1"/>
  <c r="P98"/>
  <c r="R98" s="1"/>
  <c r="P130"/>
  <c r="R130" s="1"/>
  <c r="S98"/>
  <c r="P75" l="1"/>
  <c r="R75" s="1"/>
  <c r="P36"/>
  <c r="R36" s="1"/>
  <c r="S14"/>
  <c r="P14" s="1"/>
  <c r="N14" s="1"/>
  <c r="P148"/>
  <c r="R148" s="1"/>
  <c r="T13"/>
  <c r="O13" s="1"/>
  <c r="R13" l="1"/>
  <c r="P13" s="1"/>
  <c r="N13" s="1"/>
</calcChain>
</file>

<file path=xl/comments1.xml><?xml version="1.0" encoding="utf-8"?>
<comments xmlns="http://schemas.openxmlformats.org/spreadsheetml/2006/main">
  <authors>
    <author>Rick Van Mell</author>
  </authors>
  <commentList>
    <comment ref="F12" authorId="0">
      <text>
        <r>
          <rPr>
            <b/>
            <sz val="8"/>
            <color indexed="81"/>
            <rFont val="Tahoma"/>
            <charset val="1"/>
          </rPr>
          <t>Rick Van Mell:</t>
        </r>
        <r>
          <rPr>
            <sz val="8"/>
            <color indexed="81"/>
            <rFont val="Tahoma"/>
            <charset val="1"/>
          </rPr>
          <t xml:space="preserve">
Actual time at slip was 1613, but subtracted 1:09 for inbound locks, 20 minutes for Salmon, and 51 min for outbound locks.</t>
        </r>
      </text>
    </comment>
  </commentList>
</comments>
</file>

<file path=xl/sharedStrings.xml><?xml version="1.0" encoding="utf-8"?>
<sst xmlns="http://schemas.openxmlformats.org/spreadsheetml/2006/main" count="2975" uniqueCount="937">
  <si>
    <t>Date</t>
  </si>
  <si>
    <t>From</t>
  </si>
  <si>
    <t>To</t>
  </si>
  <si>
    <t>Depart</t>
  </si>
  <si>
    <t>Arrive</t>
  </si>
  <si>
    <t>Elapsed</t>
  </si>
  <si>
    <t>Track</t>
  </si>
  <si>
    <t>Miles</t>
  </si>
  <si>
    <t>Ave</t>
  </si>
  <si>
    <t>Speed</t>
  </si>
  <si>
    <t>Engine</t>
  </si>
  <si>
    <t>Hours</t>
  </si>
  <si>
    <t>Time</t>
  </si>
  <si>
    <t>Day</t>
  </si>
  <si>
    <t>Plan</t>
  </si>
  <si>
    <t>HH:MM</t>
  </si>
  <si>
    <t>NM</t>
  </si>
  <si>
    <t>Knots</t>
  </si>
  <si>
    <t>Totals:</t>
  </si>
  <si>
    <t>Hour</t>
  </si>
  <si>
    <t>Meter</t>
  </si>
  <si>
    <t>Different from original Plan</t>
  </si>
  <si>
    <t>&lt;table bgcolor="#ffffcc" cellpadding="4" border="1" &gt;</t>
  </si>
  <si>
    <t>Fixed data for web:</t>
  </si>
  <si>
    <t>Total Hrs</t>
  </si>
  <si>
    <t>Put BGCOLOR="#FFCC00"  in the &lt;td    &gt;  for changed destinations.</t>
  </si>
  <si>
    <t xml:space="preserve"> &lt;a href="#Day-</t>
  </si>
  <si>
    <t>"&gt;</t>
  </si>
  <si>
    <t>&lt;/a&gt;</t>
  </si>
  <si>
    <t>&lt;/table&gt;</t>
  </si>
  <si>
    <t>Bellingham</t>
  </si>
  <si>
    <t>RPM</t>
  </si>
  <si>
    <t>GPH</t>
  </si>
  <si>
    <t>NM/Gal</t>
  </si>
  <si>
    <t>Operating Parameters</t>
  </si>
  <si>
    <t>Daily Detail Route Planning</t>
  </si>
  <si>
    <t>Definitions</t>
  </si>
  <si>
    <t>RM = Route Miles</t>
  </si>
  <si>
    <t>TC = Transit Current</t>
  </si>
  <si>
    <t>PS = Plan Boat speed</t>
  </si>
  <si>
    <t>RPM = Engine RPM at PS</t>
  </si>
  <si>
    <t>GPH = Gallons per hour</t>
  </si>
  <si>
    <t>NMG = Nautical Miles / Gallon</t>
  </si>
  <si>
    <t>GT = Time needed to be at Gate</t>
  </si>
  <si>
    <t>GTime = Departure for Gate time</t>
  </si>
  <si>
    <t>Port</t>
  </si>
  <si>
    <t>RM</t>
  </si>
  <si>
    <t>PS</t>
  </si>
  <si>
    <t>TC</t>
  </si>
  <si>
    <t>PSOG</t>
  </si>
  <si>
    <t>RT = Route time at PSOG</t>
  </si>
  <si>
    <t>RT</t>
  </si>
  <si>
    <t>GTime</t>
  </si>
  <si>
    <t>G</t>
  </si>
  <si>
    <t>GT</t>
  </si>
  <si>
    <t>NMG</t>
  </si>
  <si>
    <t>Fuel</t>
  </si>
  <si>
    <t>Cost</t>
  </si>
  <si>
    <t>LT = Layover time at stop</t>
  </si>
  <si>
    <t>LT</t>
  </si>
  <si>
    <t>Fuel = US Gallons used at GPH times RT</t>
  </si>
  <si>
    <t>Cost = US $ for US Gallon equivalent</t>
  </si>
  <si>
    <t>Fuel Cost Calculation</t>
  </si>
  <si>
    <t>Plan default speed =</t>
  </si>
  <si>
    <t>Input  Cells - all others are calculated</t>
  </si>
  <si>
    <t>Gallons</t>
  </si>
  <si>
    <t>No Gate</t>
  </si>
  <si>
    <t>PSOG = Planned SOG</t>
  </si>
  <si>
    <t>Time = Depart or Arrive time</t>
  </si>
  <si>
    <t>G =  "Gate" - Must be on 3rd Port row.</t>
  </si>
  <si>
    <t>---- With Gate ------</t>
  </si>
  <si>
    <t xml:space="preserve">Canadian diesel is about </t>
  </si>
  <si>
    <t>$4.90   vs $3.45 in</t>
  </si>
  <si>
    <t xml:space="preserve">Bellingham. </t>
  </si>
  <si>
    <t xml:space="preserve">  Use US Price</t>
  </si>
  <si>
    <t xml:space="preserve">Underway time: </t>
  </si>
  <si>
    <t>Plan Miles:</t>
  </si>
  <si>
    <t>Carbon</t>
  </si>
  <si>
    <t>Carbon $</t>
  </si>
  <si>
    <t>Carbon Gal</t>
  </si>
  <si>
    <t>Total</t>
  </si>
  <si>
    <t>Trip</t>
  </si>
  <si>
    <t>Diesel Cost</t>
  </si>
  <si>
    <t>can $ / Liter</t>
  </si>
  <si>
    <t>Liters / US Gallon</t>
  </si>
  <si>
    <t>Can $ / US Gallon</t>
  </si>
  <si>
    <t>Can $ / US Dollars</t>
  </si>
  <si>
    <t>1 US Gallon in US $ After currency conversion.</t>
  </si>
  <si>
    <t xml:space="preserve">Use:  miles = </t>
  </si>
  <si>
    <t>Speed =</t>
  </si>
  <si>
    <t>Roche Harbor</t>
  </si>
  <si>
    <t>Rosario Resort</t>
  </si>
  <si>
    <t>Day/Time</t>
  </si>
  <si>
    <t>SOG</t>
  </si>
  <si>
    <t>COG</t>
  </si>
  <si>
    <t>W. Dr.</t>
  </si>
  <si>
    <t>W. Spd.</t>
  </si>
  <si>
    <t>Carbon :</t>
  </si>
  <si>
    <t>RPM:</t>
  </si>
  <si>
    <t>Start:</t>
  </si>
  <si>
    <t>End:</t>
  </si>
  <si>
    <t>Temp.</t>
  </si>
  <si>
    <t>Notes:</t>
  </si>
  <si>
    <t>Hours:</t>
  </si>
  <si>
    <t>Engine Hrs.</t>
  </si>
  <si>
    <t>Weather Forecast</t>
  </si>
  <si>
    <t>Port:</t>
  </si>
  <si>
    <t>Stbd:</t>
  </si>
  <si>
    <t>Generator Hrs:</t>
  </si>
  <si>
    <t>Note: 15 min @ 2000 for carbon =2.9 mi.</t>
  </si>
  <si>
    <t>Day 18 - Wed 9/1/21</t>
  </si>
  <si>
    <t>Day 19 - Thurs 9/2/21</t>
  </si>
  <si>
    <t>Day 20 - Fri 9/3/20</t>
  </si>
  <si>
    <t>Day 1 - Sun 8/15/21</t>
  </si>
  <si>
    <t>Day 2 - Mon 8/16/21</t>
  </si>
  <si>
    <t>Day 3- Tues 8/17/21</t>
  </si>
  <si>
    <t>Day 4 - Wed 8/18/21</t>
  </si>
  <si>
    <t>Day 5 - Thur 8/19/21</t>
  </si>
  <si>
    <t>Day 7 - Sat 8/21/21</t>
  </si>
  <si>
    <t>Day 8 - Sun 8/22/21</t>
  </si>
  <si>
    <t>Day 9-Mon 8/23/21</t>
  </si>
  <si>
    <t>Day 10- Tues 8/24/21</t>
  </si>
  <si>
    <t>Day 11 - Wed 8/25/21</t>
  </si>
  <si>
    <t>Day 12 - Thurs 8/26/21</t>
  </si>
  <si>
    <t>Day 13 - Fri 8/27/21</t>
  </si>
  <si>
    <t>Day 14 - Sat 8/28/21</t>
  </si>
  <si>
    <t>Day 15 - Sun 8/29/21</t>
  </si>
  <si>
    <t>Day 16 - Mon 8/30/21</t>
  </si>
  <si>
    <t>Day 17 - Tues 8/31/21</t>
  </si>
  <si>
    <t>AnacortesCap Sante</t>
  </si>
  <si>
    <t>2021 Javelin / Zaya Puget Sound Cruise</t>
  </si>
  <si>
    <t>Port Townsend Point Hudson</t>
  </si>
  <si>
    <t>Pleasant Hbr Marina</t>
  </si>
  <si>
    <t>Shilshole Bay Marina</t>
  </si>
  <si>
    <t>Hope Island (anchor)</t>
  </si>
  <si>
    <t>Jarrell's Cove Marina</t>
  </si>
  <si>
    <t>Gig Harbor Arabella's Lnd.</t>
  </si>
  <si>
    <t>Poulsbo Marina</t>
  </si>
  <si>
    <t>Oak Harbor Marina</t>
  </si>
  <si>
    <t>Lopex Sound (at anchor)</t>
  </si>
  <si>
    <t>Reid Hbr/ Sturt I (at anchor)</t>
  </si>
  <si>
    <t>Sucia Island (at anchor)</t>
  </si>
  <si>
    <t>Port of Friday Harbor</t>
  </si>
  <si>
    <t>Garrison Bay (at anchor)</t>
  </si>
  <si>
    <t>Pt. Wilson</t>
  </si>
  <si>
    <t>Pt Townsend Canal +2.7 @ 0827</t>
  </si>
  <si>
    <t>Day 6 - Fri 8/20/21</t>
  </si>
  <si>
    <t>The Narrows Slack 1055; flood 4.6 @ 1410</t>
  </si>
  <si>
    <t>The Narrows</t>
  </si>
  <si>
    <t>Vertical 31'</t>
  </si>
  <si>
    <t>Ebb in the Narrows until 1236 at Gig Harbor</t>
  </si>
  <si>
    <t>Rich Passsage</t>
  </si>
  <si>
    <t>Rich passage at 12:00 has decreased to a 2.6 kt ebb against us.</t>
  </si>
  <si>
    <t>Agate Pass 4.5 kt ebb at 1030</t>
  </si>
  <si>
    <t>Agate Passage</t>
  </si>
  <si>
    <t>Deception Pass</t>
  </si>
  <si>
    <t>Deception Pass at 1200 = 3 kt ebb (favorable) decreasing</t>
  </si>
  <si>
    <t>Extra page for date:</t>
  </si>
  <si>
    <t>Javelin 2021 Puget Sound Log</t>
  </si>
  <si>
    <t>Note: destinations as Rick plotted, not Steve's</t>
  </si>
  <si>
    <t>Sat 8/14</t>
  </si>
  <si>
    <t>Sun 8/15</t>
  </si>
  <si>
    <t>Anacortes Cap Sante</t>
  </si>
  <si>
    <t>Mon 8/16</t>
  </si>
  <si>
    <t>Tue 8/17</t>
  </si>
  <si>
    <t>Wed 8/18</t>
  </si>
  <si>
    <t>Thu 8/19</t>
  </si>
  <si>
    <t>Fri 8/20</t>
  </si>
  <si>
    <t>Sat 8/21</t>
  </si>
  <si>
    <t>Sun 8/22</t>
  </si>
  <si>
    <t>Mon 8/23</t>
  </si>
  <si>
    <t>Tue 8/24</t>
  </si>
  <si>
    <t>Wed 8/25</t>
  </si>
  <si>
    <t>Thu 8/26</t>
  </si>
  <si>
    <t>Fri 8/27</t>
  </si>
  <si>
    <t>Sat 8/28</t>
  </si>
  <si>
    <t>Sun 8/29</t>
  </si>
  <si>
    <t>Mon 8/30</t>
  </si>
  <si>
    <t>Tue 8/31</t>
  </si>
  <si>
    <t>Wed 9/1</t>
  </si>
  <si>
    <t>Thu 9/2</t>
  </si>
  <si>
    <t>Fri 9/3</t>
  </si>
  <si>
    <t>S 10-15, becoming west</t>
  </si>
  <si>
    <t>0911</t>
  </si>
  <si>
    <t>0917</t>
  </si>
  <si>
    <t>0938</t>
  </si>
  <si>
    <t>1000</t>
  </si>
  <si>
    <t>1022</t>
  </si>
  <si>
    <t>1034</t>
  </si>
  <si>
    <t>1110</t>
  </si>
  <si>
    <t>1123</t>
  </si>
  <si>
    <t>1135</t>
  </si>
  <si>
    <t>1144</t>
  </si>
  <si>
    <t>1205</t>
  </si>
  <si>
    <t>1225</t>
  </si>
  <si>
    <t>1245</t>
  </si>
  <si>
    <t>1300</t>
  </si>
  <si>
    <t>1330</t>
  </si>
  <si>
    <t>1400</t>
  </si>
  <si>
    <t>Idle</t>
  </si>
  <si>
    <t>1200</t>
  </si>
  <si>
    <t>8.5</t>
  </si>
  <si>
    <t>8.0</t>
  </si>
  <si>
    <t>8.7</t>
  </si>
  <si>
    <t>4.8</t>
  </si>
  <si>
    <t>7.8</t>
  </si>
  <si>
    <t>173</t>
  </si>
  <si>
    <t>138</t>
  </si>
  <si>
    <t>175</t>
  </si>
  <si>
    <t>145</t>
  </si>
  <si>
    <t>210</t>
  </si>
  <si>
    <t>180</t>
  </si>
  <si>
    <t>160</t>
  </si>
  <si>
    <t>300</t>
  </si>
  <si>
    <t>10-14</t>
  </si>
  <si>
    <t>10-11</t>
  </si>
  <si>
    <t>5-7</t>
  </si>
  <si>
    <t>5</t>
  </si>
  <si>
    <t>3-5</t>
  </si>
  <si>
    <t>8-10</t>
  </si>
  <si>
    <t>Up 0630; Breakfast 0700; instruments, radar,</t>
  </si>
  <si>
    <t>stow &amp; checklist</t>
  </si>
  <si>
    <t>Underway</t>
  </si>
  <si>
    <t>Cleared breakwater</t>
  </si>
  <si>
    <t>R2 Post Point</t>
  </si>
  <si>
    <t>Governor's Point abeam</t>
  </si>
  <si>
    <t>Changed course for Samish - dinghy drill</t>
  </si>
  <si>
    <t>At Samish Bay - dinghy practice</t>
  </si>
  <si>
    <t>Under way for anacortes</t>
  </si>
  <si>
    <t>Back on Route to Anacortes</t>
  </si>
  <si>
    <t>G5 Padilla Bay</t>
  </si>
  <si>
    <t>Sighted snowcapped Mt. Baker abeam</t>
  </si>
  <si>
    <t>Anacortes Channel; slip occupied</t>
  </si>
  <si>
    <t>Long Bay for lunch</t>
  </si>
  <si>
    <t>Headed back to Anacortes</t>
  </si>
  <si>
    <t>In Slip D58 Anacortes</t>
  </si>
  <si>
    <t>Track: 22.9</t>
  </si>
  <si>
    <t>Starting Readings:</t>
  </si>
  <si>
    <t>S 5-15; morning rain shower, cloudy</t>
  </si>
  <si>
    <t>SW 10-20 tonight</t>
  </si>
  <si>
    <t>0706</t>
  </si>
  <si>
    <t>0722</t>
  </si>
  <si>
    <t>0736</t>
  </si>
  <si>
    <t>0751</t>
  </si>
  <si>
    <t>0806</t>
  </si>
  <si>
    <t>0832</t>
  </si>
  <si>
    <t>0913</t>
  </si>
  <si>
    <t>0952</t>
  </si>
  <si>
    <t>1018</t>
  </si>
  <si>
    <t>1030</t>
  </si>
  <si>
    <t>1032</t>
  </si>
  <si>
    <t>1054</t>
  </si>
  <si>
    <t>1600</t>
  </si>
  <si>
    <t>9.0</t>
  </si>
  <si>
    <t>8.2</t>
  </si>
  <si>
    <t>9.6</t>
  </si>
  <si>
    <t>8.8</t>
  </si>
  <si>
    <t>10.4</t>
  </si>
  <si>
    <t>7.7</t>
  </si>
  <si>
    <t>250</t>
  </si>
  <si>
    <t>242</t>
  </si>
  <si>
    <t>185</t>
  </si>
  <si>
    <t>144</t>
  </si>
  <si>
    <t>157</t>
  </si>
  <si>
    <t>207</t>
  </si>
  <si>
    <t>Calm</t>
  </si>
  <si>
    <t>S</t>
  </si>
  <si>
    <t>S SW</t>
  </si>
  <si>
    <t>9-10</t>
  </si>
  <si>
    <t>10-12</t>
  </si>
  <si>
    <t>10</t>
  </si>
  <si>
    <t>170</t>
  </si>
  <si>
    <t>Under way for Port Townsend</t>
  </si>
  <si>
    <t>In Gumes channel</t>
  </si>
  <si>
    <t>Mid Marks Gumes Channel</t>
  </si>
  <si>
    <t>Cleared Gumes Channel</t>
  </si>
  <si>
    <t>Burrows I. Lighthouse abeam</t>
  </si>
  <si>
    <t>Decption Pass swells from Juan de Fuca</t>
  </si>
  <si>
    <t>Abeam Smith I.swells lower</t>
  </si>
  <si>
    <t>Pt. Partridge - current waves</t>
  </si>
  <si>
    <t>Pt. Hudson still cloudy</t>
  </si>
  <si>
    <t>Arrived off Pt. Hudson Marina</t>
  </si>
  <si>
    <t>Tied in Slip # 2 Pt. Hudson Marina</t>
  </si>
  <si>
    <t>Track: 30.3</t>
  </si>
  <si>
    <t>Jarrell's Cove Mooring</t>
  </si>
  <si>
    <t>8a</t>
  </si>
  <si>
    <t>Olympia Percival Landing</t>
  </si>
  <si>
    <t>Gallagher Cove/ Totten Inlet</t>
  </si>
  <si>
    <t>Quartermastr Harbor</t>
  </si>
  <si>
    <t>9a</t>
  </si>
  <si>
    <t>S 5-15 Morning rain showers, cloudy</t>
  </si>
  <si>
    <t>0822</t>
  </si>
  <si>
    <t>0840</t>
  </si>
  <si>
    <t>0848</t>
  </si>
  <si>
    <t>0922</t>
  </si>
  <si>
    <t>0956</t>
  </si>
  <si>
    <t>1047</t>
  </si>
  <si>
    <t>1147</t>
  </si>
  <si>
    <t>1210</t>
  </si>
  <si>
    <t>1310</t>
  </si>
  <si>
    <t>1318</t>
  </si>
  <si>
    <t>8.1</t>
  </si>
  <si>
    <t>8.6</t>
  </si>
  <si>
    <t>9.7</t>
  </si>
  <si>
    <t>8.3</t>
  </si>
  <si>
    <t>9.1</t>
  </si>
  <si>
    <t>174</t>
  </si>
  <si>
    <t>125</t>
  </si>
  <si>
    <t>136</t>
  </si>
  <si>
    <t>172</t>
  </si>
  <si>
    <t>225</t>
  </si>
  <si>
    <t>Calm lt Rain</t>
  </si>
  <si>
    <t>calm</t>
  </si>
  <si>
    <t>N</t>
  </si>
  <si>
    <t>3</t>
  </si>
  <si>
    <t>To pump out dock</t>
  </si>
  <si>
    <t>Underway for Pleasant Harbor</t>
  </si>
  <si>
    <t>Entered Pt. Townsend Canal</t>
  </si>
  <si>
    <t>Kals Rocks waypoint</t>
  </si>
  <si>
    <t>P. Hannon - Hood Canal</t>
  </si>
  <si>
    <t>Hood Canal west end</t>
  </si>
  <si>
    <t>Brown Pt. Hood Canal</t>
  </si>
  <si>
    <t>Hazel Pt. Hood Canal</t>
  </si>
  <si>
    <t>Entered Pleasant harbor</t>
  </si>
  <si>
    <t>In Slip</t>
  </si>
  <si>
    <t>Track 36.4</t>
  </si>
  <si>
    <t>0925</t>
  </si>
  <si>
    <t>0930</t>
  </si>
  <si>
    <t>1007</t>
  </si>
  <si>
    <t>1021</t>
  </si>
  <si>
    <t>1024</t>
  </si>
  <si>
    <t>1033</t>
  </si>
  <si>
    <t>1108</t>
  </si>
  <si>
    <t>1132</t>
  </si>
  <si>
    <t>1146</t>
  </si>
  <si>
    <t>1226</t>
  </si>
  <si>
    <t>1230</t>
  </si>
  <si>
    <t>1254</t>
  </si>
  <si>
    <t>1437</t>
  </si>
  <si>
    <t>1454</t>
  </si>
  <si>
    <t>1250</t>
  </si>
  <si>
    <t>8.4</t>
  </si>
  <si>
    <t>10.9</t>
  </si>
  <si>
    <t>10.5</t>
  </si>
  <si>
    <t>059</t>
  </si>
  <si>
    <t>062</t>
  </si>
  <si>
    <t>342</t>
  </si>
  <si>
    <t>458</t>
  </si>
  <si>
    <t>021</t>
  </si>
  <si>
    <t>350</t>
  </si>
  <si>
    <t>323</t>
  </si>
  <si>
    <t>069</t>
  </si>
  <si>
    <t>106</t>
  </si>
  <si>
    <t>149</t>
  </si>
  <si>
    <t>SW</t>
  </si>
  <si>
    <t>SE</t>
  </si>
  <si>
    <t>E</t>
  </si>
  <si>
    <t>8</t>
  </si>
  <si>
    <t>3-4</t>
  </si>
  <si>
    <t>5-6</t>
  </si>
  <si>
    <t>7</t>
  </si>
  <si>
    <t>6-8</t>
  </si>
  <si>
    <t>140</t>
  </si>
  <si>
    <t>Off dock - Paul Ashore</t>
  </si>
  <si>
    <t>Paul aboard - heading out</t>
  </si>
  <si>
    <t>Cleared at 7.8' min cloudy</t>
  </si>
  <si>
    <t>Mostly Sunny - Oak Head</t>
  </si>
  <si>
    <t>Rounded Hazel Pt.</t>
  </si>
  <si>
    <t>Increased RPM for current</t>
  </si>
  <si>
    <t>Course change</t>
  </si>
  <si>
    <t>Hit more current</t>
  </si>
  <si>
    <t>Good Picture Olympic Range</t>
  </si>
  <si>
    <t>Hood Canal Bridge</t>
  </si>
  <si>
    <t>Point Harron</t>
  </si>
  <si>
    <t>Foulwaether Bulff</t>
  </si>
  <si>
    <t>fair current</t>
  </si>
  <si>
    <t>Point No Point</t>
  </si>
  <si>
    <t>Shilshole Bay Marina - Enter</t>
  </si>
  <si>
    <t xml:space="preserve">Secure at H-15 </t>
  </si>
  <si>
    <t>0734</t>
  </si>
  <si>
    <t>0741</t>
  </si>
  <si>
    <t>0750</t>
  </si>
  <si>
    <t>0858</t>
  </si>
  <si>
    <t>0928</t>
  </si>
  <si>
    <t>1202</t>
  </si>
  <si>
    <t>1306</t>
  </si>
  <si>
    <t>1315</t>
  </si>
  <si>
    <t>1325</t>
  </si>
  <si>
    <t>1442</t>
  </si>
  <si>
    <t>1502</t>
  </si>
  <si>
    <t>1510</t>
  </si>
  <si>
    <t>1552</t>
  </si>
  <si>
    <t>1601</t>
  </si>
  <si>
    <t>1613</t>
  </si>
  <si>
    <t>0947</t>
  </si>
  <si>
    <t>0955</t>
  </si>
  <si>
    <t>1152</t>
  </si>
  <si>
    <t>4.6</t>
  </si>
  <si>
    <t>0</t>
  </si>
  <si>
    <t>Channel</t>
  </si>
  <si>
    <t>064</t>
  </si>
  <si>
    <t>105</t>
  </si>
  <si>
    <t>Departed slip for Canal - clear</t>
  </si>
  <si>
    <t>Cleared harbor</t>
  </si>
  <si>
    <t>Arrived waiting wall small lock - cloudy</t>
  </si>
  <si>
    <t>Into small lock</t>
  </si>
  <si>
    <t>Through lock</t>
  </si>
  <si>
    <t>Into Lake Union - clear</t>
  </si>
  <si>
    <t>Montlake Cut - clear</t>
  </si>
  <si>
    <t>Into Lake Wshington</t>
  </si>
  <si>
    <t>Anchored in Andrews Bay for lunch</t>
  </si>
  <si>
    <t>Shut down for lunch</t>
  </si>
  <si>
    <t>Under way again</t>
  </si>
  <si>
    <t>High clouds</t>
  </si>
  <si>
    <t>Under I-9 bridge</t>
  </si>
  <si>
    <t>At Fisherman's Terminal</t>
  </si>
  <si>
    <t>Cast off with salmon aboard</t>
  </si>
  <si>
    <t>at Ballard Locks</t>
  </si>
  <si>
    <t>In small lock</t>
  </si>
  <si>
    <t>Out of lock</t>
  </si>
  <si>
    <t>In slip</t>
  </si>
  <si>
    <t>10a</t>
  </si>
  <si>
    <t>Keyport Guest Dock</t>
  </si>
  <si>
    <t>Keyport Gues Dock</t>
  </si>
  <si>
    <t>0746</t>
  </si>
  <si>
    <t>0802</t>
  </si>
  <si>
    <t>0809</t>
  </si>
  <si>
    <t>0842</t>
  </si>
  <si>
    <t>0951</t>
  </si>
  <si>
    <t>1119</t>
  </si>
  <si>
    <t>1138</t>
  </si>
  <si>
    <t>137</t>
  </si>
  <si>
    <t>1305</t>
  </si>
  <si>
    <t>1312</t>
  </si>
  <si>
    <t>1438</t>
  </si>
  <si>
    <t>1447</t>
  </si>
  <si>
    <t>1500</t>
  </si>
  <si>
    <t>1506</t>
  </si>
  <si>
    <t>9.3</t>
  </si>
  <si>
    <t>11.4</t>
  </si>
  <si>
    <t>11.1</t>
  </si>
  <si>
    <t>211</t>
  </si>
  <si>
    <t>156</t>
  </si>
  <si>
    <t>214</t>
  </si>
  <si>
    <t>189</t>
  </si>
  <si>
    <t>293</t>
  </si>
  <si>
    <t>340</t>
  </si>
  <si>
    <t>SSW</t>
  </si>
  <si>
    <t>7-8</t>
  </si>
  <si>
    <t>8-11</t>
  </si>
  <si>
    <t>Left slip for pump out</t>
  </si>
  <si>
    <t>Pumped out, heading for sea</t>
  </si>
  <si>
    <t>1st leg to West Point</t>
  </si>
  <si>
    <t>CPA with Marshall Foss; tug slowed down</t>
  </si>
  <si>
    <t>Robinson Point - cloudy</t>
  </si>
  <si>
    <t>Entered The Narrows - cloudy, &amp; current +</t>
  </si>
  <si>
    <t>For Jarrell Cove</t>
  </si>
  <si>
    <t>Tacoma Narrows bridge</t>
  </si>
  <si>
    <t>Tatsolo Point - lunch</t>
  </si>
  <si>
    <t>Dougal Pt. Harstine Island</t>
  </si>
  <si>
    <t>Light rain</t>
  </si>
  <si>
    <t>Arrived Jarrell Cove</t>
  </si>
  <si>
    <t>On Mooring #6 833-927-1222</t>
  </si>
  <si>
    <t>Track 46.18</t>
  </si>
  <si>
    <t>0808</t>
  </si>
  <si>
    <t>0820</t>
  </si>
  <si>
    <t>0847</t>
  </si>
  <si>
    <t>0857</t>
  </si>
  <si>
    <t>1017</t>
  </si>
  <si>
    <t>1029</t>
  </si>
  <si>
    <t>1350</t>
  </si>
  <si>
    <t>107</t>
  </si>
  <si>
    <t>1407</t>
  </si>
  <si>
    <t>1440</t>
  </si>
  <si>
    <t>1513</t>
  </si>
  <si>
    <t>1526</t>
  </si>
  <si>
    <t>6.4</t>
  </si>
  <si>
    <t>7.0</t>
  </si>
  <si>
    <t>7.9</t>
  </si>
  <si>
    <t>9.9</t>
  </si>
  <si>
    <t>240</t>
  </si>
  <si>
    <t>193</t>
  </si>
  <si>
    <t>120</t>
  </si>
  <si>
    <t>161</t>
  </si>
  <si>
    <t>345</t>
  </si>
  <si>
    <t>279</t>
  </si>
  <si>
    <t>NW</t>
  </si>
  <si>
    <t>2</t>
  </si>
  <si>
    <t>2-3</t>
  </si>
  <si>
    <t>Under way  - cloudy; cool</t>
  </si>
  <si>
    <t>Walkers Ledge</t>
  </si>
  <si>
    <t>Graham Pt. bridge, cloudy</t>
  </si>
  <si>
    <t>Peale Passage</t>
  </si>
  <si>
    <t>Olympia Harbor</t>
  </si>
  <si>
    <t>At E Dock, Percival Landing</t>
  </si>
  <si>
    <t>Depart Percival Landing after pumpout</t>
  </si>
  <si>
    <t>G5 to starboard</t>
  </si>
  <si>
    <t>Abeam Boston Harbor; Budd Inlet</t>
  </si>
  <si>
    <t>Squaxin Passage</t>
  </si>
  <si>
    <t>Exploring fish pens, Gallagher Cove</t>
  </si>
  <si>
    <t>Anchor down Gallagher Cove</t>
  </si>
  <si>
    <t>Track 17.2 to Olumpia</t>
  </si>
  <si>
    <t>Track 12.5 to Gallagher Cove</t>
  </si>
  <si>
    <t xml:space="preserve">22.6 ft of water </t>
  </si>
  <si>
    <t>8.2 feet tide</t>
  </si>
  <si>
    <t>14.4 at zero datum</t>
  </si>
  <si>
    <t>Olympia3287.7</t>
  </si>
  <si>
    <t>0817</t>
  </si>
  <si>
    <t>0823</t>
  </si>
  <si>
    <t>0843</t>
  </si>
  <si>
    <t>0901</t>
  </si>
  <si>
    <t>0921</t>
  </si>
  <si>
    <t>1004</t>
  </si>
  <si>
    <t>1036</t>
  </si>
  <si>
    <t>1057</t>
  </si>
  <si>
    <t>1114</t>
  </si>
  <si>
    <t>1145</t>
  </si>
  <si>
    <t>1336</t>
  </si>
  <si>
    <t>1100</t>
  </si>
  <si>
    <t>12.1</t>
  </si>
  <si>
    <t>11.2</t>
  </si>
  <si>
    <t>016</t>
  </si>
  <si>
    <t>051</t>
  </si>
  <si>
    <t>087</t>
  </si>
  <si>
    <t>024</t>
  </si>
  <si>
    <t>014</t>
  </si>
  <si>
    <t>030</t>
  </si>
  <si>
    <t>249</t>
  </si>
  <si>
    <t>S-SW</t>
  </si>
  <si>
    <t>10-13</t>
  </si>
  <si>
    <t>13.7 feet</t>
  </si>
  <si>
    <t>Lunch</t>
  </si>
  <si>
    <t>Under way - 20 minutes anchor wash</t>
  </si>
  <si>
    <t>Steamboat Island</t>
  </si>
  <si>
    <t>Dana Passage, Brisco Pt.</t>
  </si>
  <si>
    <t>Johnson Point</t>
  </si>
  <si>
    <t>Blach Passage</t>
  </si>
  <si>
    <t>Fox I. Current rips</t>
  </si>
  <si>
    <t>Pt. Defiance to Quartermaster Cove</t>
  </si>
  <si>
    <t>Anchored mouth of Quartermaster</t>
  </si>
  <si>
    <t>Underway for gig Harbor</t>
  </si>
  <si>
    <t>In gig Harbor</t>
  </si>
  <si>
    <t>Track to lunch 30.2</t>
  </si>
  <si>
    <t>Track to gig 5.3</t>
  </si>
  <si>
    <t>0744</t>
  </si>
  <si>
    <t>0756</t>
  </si>
  <si>
    <t>0825</t>
  </si>
  <si>
    <t>0935</t>
  </si>
  <si>
    <t>0949</t>
  </si>
  <si>
    <t>0958</t>
  </si>
  <si>
    <t>1338</t>
  </si>
  <si>
    <t>1342</t>
  </si>
  <si>
    <t>1401</t>
  </si>
  <si>
    <t>800</t>
  </si>
  <si>
    <t>4.5</t>
  </si>
  <si>
    <t>10.0</t>
  </si>
  <si>
    <t>7.4</t>
  </si>
  <si>
    <t>5.7</t>
  </si>
  <si>
    <t>6.9</t>
  </si>
  <si>
    <t>116</t>
  </si>
  <si>
    <t>012</t>
  </si>
  <si>
    <t>002</t>
  </si>
  <si>
    <t>351</t>
  </si>
  <si>
    <t>319</t>
  </si>
  <si>
    <t>305</t>
  </si>
  <si>
    <t>Var</t>
  </si>
  <si>
    <t>336</t>
  </si>
  <si>
    <t>317</t>
  </si>
  <si>
    <t>Departed Gig Harbor cloudy</t>
  </si>
  <si>
    <t>Cleared harbor - +2 kn current</t>
  </si>
  <si>
    <t>Pt. Richmond</t>
  </si>
  <si>
    <t>Sanford Pt.</t>
  </si>
  <si>
    <t>Pt. Southworth</t>
  </si>
  <si>
    <t>Orchard Point - current against us</t>
  </si>
  <si>
    <t>Pich Passge G9</t>
  </si>
  <si>
    <t>Pt. Glover</t>
  </si>
  <si>
    <t>Past Pt. White</t>
  </si>
  <si>
    <t>At Keyport guest dock</t>
  </si>
  <si>
    <t>Lunch at Keyport Mercantile &amp; Deli</t>
  </si>
  <si>
    <t>Underway for Poulsbo</t>
  </si>
  <si>
    <t>At Poulsbo E 24</t>
  </si>
  <si>
    <t>Track to Keyport 26.4</t>
  </si>
  <si>
    <t>Track to Poulsbo 2.0</t>
  </si>
  <si>
    <t>0634</t>
  </si>
  <si>
    <t>0649</t>
  </si>
  <si>
    <t>0716</t>
  </si>
  <si>
    <t>0945</t>
  </si>
  <si>
    <t>1157</t>
  </si>
  <si>
    <t>1436</t>
  </si>
  <si>
    <t>7.3</t>
  </si>
  <si>
    <t>11.3</t>
  </si>
  <si>
    <t>017</t>
  </si>
  <si>
    <t>007</t>
  </si>
  <si>
    <t>299</t>
  </si>
  <si>
    <t>312</t>
  </si>
  <si>
    <t>NE</t>
  </si>
  <si>
    <t>8-9</t>
  </si>
  <si>
    <t>6</t>
  </si>
  <si>
    <t>Depart Zaya for Sluy's Bakery</t>
  </si>
  <si>
    <t>Returned to Zaya</t>
  </si>
  <si>
    <t>Departed Poulsbo</t>
  </si>
  <si>
    <t>Cleared Navy pier Keyport</t>
  </si>
  <si>
    <t>Agate Pass Bridge</t>
  </si>
  <si>
    <t>Dolphins sighted in Port Madison</t>
  </si>
  <si>
    <t>Cleared Pt. Jefferson</t>
  </si>
  <si>
    <t>Possession Point, curent turned against</t>
  </si>
  <si>
    <t>Sandy Point</t>
  </si>
  <si>
    <t>R4 Camano Island</t>
  </si>
  <si>
    <t>Sync. Off for Oak Harbor</t>
  </si>
  <si>
    <t>Fuel Dock; pumped out; filled water</t>
  </si>
  <si>
    <t>190 Gallons of diesel $605.13</t>
  </si>
  <si>
    <t>at Slip G-11</t>
  </si>
  <si>
    <t>0639</t>
  </si>
  <si>
    <t>0701</t>
  </si>
  <si>
    <t>0812</t>
  </si>
  <si>
    <t>0824</t>
  </si>
  <si>
    <t>0826</t>
  </si>
  <si>
    <t>0831</t>
  </si>
  <si>
    <t>0904</t>
  </si>
  <si>
    <t>0912</t>
  </si>
  <si>
    <t>1002</t>
  </si>
  <si>
    <t>1039</t>
  </si>
  <si>
    <t>1109</t>
  </si>
  <si>
    <t>900</t>
  </si>
  <si>
    <t>7.6</t>
  </si>
  <si>
    <t>9.5</t>
  </si>
  <si>
    <t>11.0</t>
  </si>
  <si>
    <t>5.0</t>
  </si>
  <si>
    <t>353</t>
  </si>
  <si>
    <t>316</t>
  </si>
  <si>
    <t>256</t>
  </si>
  <si>
    <t>233</t>
  </si>
  <si>
    <t>W</t>
  </si>
  <si>
    <t>Cast off OH at sunrise</t>
  </si>
  <si>
    <t>Oak Harbor channel astern - clear</t>
  </si>
  <si>
    <t>R2 Oak Harbor</t>
  </si>
  <si>
    <t>Strawberry Point G3</t>
  </si>
  <si>
    <t>Dugualla Range</t>
  </si>
  <si>
    <t>Hole In the Wall</t>
  </si>
  <si>
    <t>No wake</t>
  </si>
  <si>
    <t>Rainbow bridge La Conner</t>
  </si>
  <si>
    <t>Highway Bridge</t>
  </si>
  <si>
    <t>R22 outbound channel</t>
  </si>
  <si>
    <t>Cleared gumes channel into Rosario S.</t>
  </si>
  <si>
    <t>changed course for Lopez Pass</t>
  </si>
  <si>
    <t>Lopez Pass</t>
  </si>
  <si>
    <t>Hunter bay - Lopez Sound</t>
  </si>
  <si>
    <t>Anchor down, Hunter bay</t>
  </si>
  <si>
    <t>Lopez Sound (at anchor)</t>
  </si>
  <si>
    <t>0856</t>
  </si>
  <si>
    <t>0906</t>
  </si>
  <si>
    <t>1040</t>
  </si>
  <si>
    <t>1055</t>
  </si>
  <si>
    <t>1140</t>
  </si>
  <si>
    <t>1155</t>
  </si>
  <si>
    <t>7.5</t>
  </si>
  <si>
    <t>268</t>
  </si>
  <si>
    <t>290</t>
  </si>
  <si>
    <t>273</t>
  </si>
  <si>
    <t>4</t>
  </si>
  <si>
    <t>Under way; cloudy</t>
  </si>
  <si>
    <t>Abeam Trump Island</t>
  </si>
  <si>
    <t>Abeam Frost Island</t>
  </si>
  <si>
    <t>Abeam Blind Bay, Harney Channel</t>
  </si>
  <si>
    <t>Departed Deer Harbor Marina</t>
  </si>
  <si>
    <t>At Deer Harbor Marina</t>
  </si>
  <si>
    <t>(Pumped out; water; wine; garbage)</t>
  </si>
  <si>
    <t>Enroute to Reid Harbor</t>
  </si>
  <si>
    <t>entered Reid Harbor</t>
  </si>
  <si>
    <t>Anchored 125' chain light rain</t>
  </si>
  <si>
    <t>rained during lunch</t>
  </si>
  <si>
    <t>Track 22.7</t>
  </si>
  <si>
    <t>0800</t>
  </si>
  <si>
    <t>0836</t>
  </si>
  <si>
    <t>1009</t>
  </si>
  <si>
    <t>1026</t>
  </si>
  <si>
    <t>1043</t>
  </si>
  <si>
    <t>1049</t>
  </si>
  <si>
    <t>1111</t>
  </si>
  <si>
    <t>7.2</t>
  </si>
  <si>
    <t>9.2</t>
  </si>
  <si>
    <t>280</t>
  </si>
  <si>
    <t>047</t>
  </si>
  <si>
    <t>046</t>
  </si>
  <si>
    <t>Rolling on swells</t>
  </si>
  <si>
    <t>Light</t>
  </si>
  <si>
    <t>16.7' depth</t>
  </si>
  <si>
    <t>110</t>
  </si>
  <si>
    <t>cloudy</t>
  </si>
  <si>
    <t>Departed Reid Hbr; cloudy</t>
  </si>
  <si>
    <t>Out of harbor</t>
  </si>
  <si>
    <t>South shore of Stuart Island</t>
  </si>
  <si>
    <t>Turn Point - aiming for Patos</t>
  </si>
  <si>
    <t>48 43.11  123 09.11</t>
  </si>
  <si>
    <t>Patos Island, Acvite Cove</t>
  </si>
  <si>
    <t>Departed Patos</t>
  </si>
  <si>
    <t>heaing for Sucia; party cloudy</t>
  </si>
  <si>
    <t>Shallow Bay, sucia, crowded</t>
  </si>
  <si>
    <t>Dprted Shallow B. for Sucia "Tour"</t>
  </si>
  <si>
    <t>Circled into Echo bay; 38 boats counted</t>
  </si>
  <si>
    <t>Mooring in Fossill Bay, Sucia</t>
  </si>
  <si>
    <t>14' depth</t>
  </si>
  <si>
    <t>Track 26.1</t>
  </si>
  <si>
    <t>15a</t>
  </si>
  <si>
    <t>Blind Bay - Lunch</t>
  </si>
  <si>
    <t>Blid Bay - after West Sound</t>
  </si>
  <si>
    <t xml:space="preserve">Blind Bay  </t>
  </si>
  <si>
    <t>0828</t>
  </si>
  <si>
    <t>0833</t>
  </si>
  <si>
    <t>0846</t>
  </si>
  <si>
    <t>0924</t>
  </si>
  <si>
    <t>0948</t>
  </si>
  <si>
    <t>1008</t>
  </si>
  <si>
    <t>1016</t>
  </si>
  <si>
    <t>1041</t>
  </si>
  <si>
    <t>1058</t>
  </si>
  <si>
    <t>1122</t>
  </si>
  <si>
    <t>1131</t>
  </si>
  <si>
    <t>1412</t>
  </si>
  <si>
    <t>1420</t>
  </si>
  <si>
    <t>1535</t>
  </si>
  <si>
    <t>6.0</t>
  </si>
  <si>
    <t>6.8</t>
  </si>
  <si>
    <t>218</t>
  </si>
  <si>
    <t>201</t>
  </si>
  <si>
    <t>166</t>
  </si>
  <si>
    <t>063</t>
  </si>
  <si>
    <t>159</t>
  </si>
  <si>
    <t>Departed Fossill Bay - clear</t>
  </si>
  <si>
    <t>Course to Pt. Doughty</t>
  </si>
  <si>
    <t>Down President Channel</t>
  </si>
  <si>
    <t>Spring Passage</t>
  </si>
  <si>
    <t>Passin S of Crane I.</t>
  </si>
  <si>
    <t>Exploring Alegria and Double Island</t>
  </si>
  <si>
    <t>Exploring West Sound &amp; marina</t>
  </si>
  <si>
    <t>Heading for Blind Bay</t>
  </si>
  <si>
    <t>Anchored in Blind Bay</t>
  </si>
  <si>
    <t>Launched dinghy</t>
  </si>
  <si>
    <t>Under way for West S. Marina</t>
  </si>
  <si>
    <t>Back in Blind Bay</t>
  </si>
  <si>
    <t>Track to Blind Bay 21.2</t>
  </si>
  <si>
    <t>Tarck to West Sound Marina &amp; Back 7.2</t>
  </si>
  <si>
    <t>Discovered water pup running during breakfast around 0700.</t>
  </si>
  <si>
    <t>Think source is aft head pump system.</t>
  </si>
  <si>
    <t>Fresh water runs into bilge in engine room.  Buzzing sound heard.</t>
  </si>
  <si>
    <t>After lunch discovered pin hole leak in main white water line under shelf.</t>
  </si>
  <si>
    <t>Tried duct tape, but still leaked.  Called West Sound Marina at 1407 to</t>
  </si>
  <si>
    <t>see if they had hose barbs and hose clamps.  They did but were only open</t>
  </si>
  <si>
    <t xml:space="preserve">until 1500.  We got under way and as soon as we were into West Sound, </t>
  </si>
  <si>
    <t xml:space="preserve">Rick &amp; Paul used the dinghy to race to the marina and got hose barb and 5 </t>
  </si>
  <si>
    <t xml:space="preserve">hose clamps.  </t>
  </si>
  <si>
    <t>Had to use boiling water and hair dryer to get hose soft.</t>
  </si>
  <si>
    <t>Used serrrated knife to get duct tape back off.</t>
  </si>
  <si>
    <t>Completed repair about 1600 and it held.</t>
  </si>
  <si>
    <t>Blind Bay</t>
  </si>
  <si>
    <t>0754</t>
  </si>
  <si>
    <t>0835</t>
  </si>
  <si>
    <t>0859</t>
  </si>
  <si>
    <t>0954</t>
  </si>
  <si>
    <t>1105</t>
  </si>
  <si>
    <t>1148</t>
  </si>
  <si>
    <t>6.1</t>
  </si>
  <si>
    <t>6.7</t>
  </si>
  <si>
    <t>6.6</t>
  </si>
  <si>
    <t>043</t>
  </si>
  <si>
    <t>304</t>
  </si>
  <si>
    <t>284</t>
  </si>
  <si>
    <t>1023</t>
  </si>
  <si>
    <t>1107</t>
  </si>
  <si>
    <t>1127</t>
  </si>
  <si>
    <t>1133</t>
  </si>
  <si>
    <t>1150</t>
  </si>
  <si>
    <t>1013</t>
  </si>
  <si>
    <t>1143</t>
  </si>
  <si>
    <t>313</t>
  </si>
  <si>
    <t>294</t>
  </si>
  <si>
    <t>247</t>
  </si>
  <si>
    <t>204</t>
  </si>
  <si>
    <t>194</t>
  </si>
  <si>
    <t>WSW</t>
  </si>
  <si>
    <t>15</t>
  </si>
  <si>
    <t>15-20</t>
  </si>
  <si>
    <t>12-15</t>
  </si>
  <si>
    <t>12</t>
  </si>
  <si>
    <t>165</t>
  </si>
  <si>
    <t>Off dock; cloudy &amp; wind 15-20</t>
  </si>
  <si>
    <t>Limestone Point; clear skies</t>
  </si>
  <si>
    <t>Davison Head; clear</t>
  </si>
  <si>
    <t>Roche RG; partly cloudy</t>
  </si>
  <si>
    <t>Rough current ito san Juan channel</t>
  </si>
  <si>
    <t>Abeam Neck Pt; Wasp passage; clear</t>
  </si>
  <si>
    <t>Pearl Island, Roche Hbr.; PC</t>
  </si>
  <si>
    <t>Slip assigned: #28</t>
  </si>
  <si>
    <t>In Slip.</t>
  </si>
  <si>
    <t>Under wa; clear</t>
  </si>
  <si>
    <t>Cleared Blind Bay</t>
  </si>
  <si>
    <t>Hankin Pt., Shaw I.</t>
  </si>
  <si>
    <t>Exploring Indian Cove</t>
  </si>
  <si>
    <t>Danger Rocks; current boils</t>
  </si>
  <si>
    <t>Dinner I., North Bay, San Juan I.</t>
  </si>
  <si>
    <t>Point George, Shaw I.</t>
  </si>
  <si>
    <t>Exploring Parks Bay</t>
  </si>
  <si>
    <t>Heading for Wasp Islands</t>
  </si>
  <si>
    <t>Wasp Islands</t>
  </si>
  <si>
    <t>Arrived Friday Harbor</t>
  </si>
  <si>
    <t>Pump out</t>
  </si>
  <si>
    <t>Heading for slip</t>
  </si>
  <si>
    <t>At dock &amp; water filled.</t>
  </si>
  <si>
    <t>18a</t>
  </si>
  <si>
    <t>Spencer Spit</t>
  </si>
  <si>
    <t>0932</t>
  </si>
  <si>
    <t>0943</t>
  </si>
  <si>
    <t>1011</t>
  </si>
  <si>
    <t>1236</t>
  </si>
  <si>
    <t>1247</t>
  </si>
  <si>
    <t>1252</t>
  </si>
  <si>
    <t>1320</t>
  </si>
  <si>
    <t>1343</t>
  </si>
  <si>
    <t>1403</t>
  </si>
  <si>
    <t>600</t>
  </si>
  <si>
    <t>700</t>
  </si>
  <si>
    <t>5.3</t>
  </si>
  <si>
    <t>5.4</t>
  </si>
  <si>
    <t>5.9</t>
  </si>
  <si>
    <t>6.5</t>
  </si>
  <si>
    <t>1405</t>
  </si>
  <si>
    <t>171</t>
  </si>
  <si>
    <t>033</t>
  </si>
  <si>
    <t>287</t>
  </si>
  <si>
    <t>258</t>
  </si>
  <si>
    <t>075</t>
  </si>
  <si>
    <t>095</t>
  </si>
  <si>
    <t>060</t>
  </si>
  <si>
    <t>100</t>
  </si>
  <si>
    <t>0920</t>
  </si>
  <si>
    <t>Clearing mooring field</t>
  </si>
  <si>
    <t>enterig Mosquito Pass</t>
  </si>
  <si>
    <t>Red nun # 6</t>
  </si>
  <si>
    <t>Bell Pt. Westcott bay</t>
  </si>
  <si>
    <t>Off Westcott shelfish Co.</t>
  </si>
  <si>
    <t>Bell Pt. to Garrison Bay</t>
  </si>
  <si>
    <t>Anchor down Garrison Bay - cloudy</t>
  </si>
  <si>
    <t>Departed Roche harbor; cler sunny</t>
  </si>
  <si>
    <t>Paul, Jess, Rick expedition returns</t>
  </si>
  <si>
    <t>Steve, Jess expedition departs</t>
  </si>
  <si>
    <t>Steve, Jess expedition returns</t>
  </si>
  <si>
    <t>Under way from Garrison Bay; sprinkles</t>
  </si>
  <si>
    <t>MosquiTO Pass R4 - light rain</t>
  </si>
  <si>
    <t>Mosquito Pass C! - light rain</t>
  </si>
  <si>
    <t>Rounded Battleship I. mostly sunny</t>
  </si>
  <si>
    <t>Limestone Point</t>
  </si>
  <si>
    <t>resumed speed</t>
  </si>
  <si>
    <t>Slowed for kayakers - clear</t>
  </si>
  <si>
    <t>South of Crane I.</t>
  </si>
  <si>
    <t>Hankin Pt. Shaw Island</t>
  </si>
  <si>
    <t>1458</t>
  </si>
  <si>
    <t>1503</t>
  </si>
  <si>
    <t>1522</t>
  </si>
  <si>
    <t>1529</t>
  </si>
  <si>
    <t>1532</t>
  </si>
  <si>
    <t>Exploring Shoal Bay</t>
  </si>
  <si>
    <t>Cruising base of Shoal bay</t>
  </si>
  <si>
    <t>Hawks or eagles above Humphrey Head</t>
  </si>
  <si>
    <t>Exploring Swift bay</t>
  </si>
  <si>
    <t>Exploring Spencer spit</t>
  </si>
  <si>
    <t>Anchored spencer Spit</t>
  </si>
  <si>
    <t>West Sound Public Dock</t>
  </si>
  <si>
    <t>19a</t>
  </si>
  <si>
    <t>0810</t>
  </si>
  <si>
    <t>0827</t>
  </si>
  <si>
    <t>0845</t>
  </si>
  <si>
    <t>0907</t>
  </si>
  <si>
    <t>0933</t>
  </si>
  <si>
    <t>315</t>
  </si>
  <si>
    <t>288</t>
  </si>
  <si>
    <t>306</t>
  </si>
  <si>
    <t>Departed Spencer Spit; clear; saw bottom</t>
  </si>
  <si>
    <t>Through S. Spit; lowest 23'</t>
  </si>
  <si>
    <t>Clearing Frost Island</t>
  </si>
  <si>
    <t>Upright Head (Ferry)</t>
  </si>
  <si>
    <t>Rounding into swest sound</t>
  </si>
  <si>
    <t>West Sound Harbor area</t>
  </si>
  <si>
    <t>At Public dock</t>
  </si>
  <si>
    <t>1154</t>
  </si>
  <si>
    <t>1314</t>
  </si>
  <si>
    <t>082</t>
  </si>
  <si>
    <t>334</t>
  </si>
  <si>
    <t>115</t>
  </si>
  <si>
    <t>Departed West Sound</t>
  </si>
  <si>
    <t>Harney channel</t>
  </si>
  <si>
    <t>East Sound - aimed at Rosario</t>
  </si>
  <si>
    <t>Slip N4 Rosario Resort</t>
  </si>
  <si>
    <t>20a</t>
  </si>
  <si>
    <t>Portage channel - lunch</t>
  </si>
  <si>
    <t>0908</t>
  </si>
  <si>
    <t>0923</t>
  </si>
  <si>
    <t>0937</t>
  </si>
  <si>
    <t>1014</t>
  </si>
  <si>
    <t>1037</t>
  </si>
  <si>
    <t>1124</t>
  </si>
  <si>
    <t>1156</t>
  </si>
  <si>
    <t>1050</t>
  </si>
  <si>
    <t>068</t>
  </si>
  <si>
    <t>111</t>
  </si>
  <si>
    <t>036</t>
  </si>
  <si>
    <t>019</t>
  </si>
  <si>
    <t>331</t>
  </si>
  <si>
    <t>9</t>
  </si>
  <si>
    <t>6-7</t>
  </si>
  <si>
    <t>Departed Roasio; clear</t>
  </si>
  <si>
    <t>Dwon East sound</t>
  </si>
  <si>
    <t>North of Olga</t>
  </si>
  <si>
    <t>Abeam Olga</t>
  </si>
  <si>
    <t>entering obstruction Pass</t>
  </si>
  <si>
    <t>Cleared Obstruction Pass into Rosario</t>
  </si>
  <si>
    <t>Cypress / Towhead Pass</t>
  </si>
  <si>
    <t>Exploring Eagle Harbor approach</t>
  </si>
  <si>
    <t>Full house; heading for Portage Bay</t>
  </si>
  <si>
    <t>For Viti rocks waypoint</t>
  </si>
  <si>
    <t>Viti Rocks</t>
  </si>
  <si>
    <t>RG north of Eliza Island</t>
  </si>
  <si>
    <t>Anchored in Portage Channel; lunch; 17'</t>
  </si>
  <si>
    <t>Portage channel:</t>
  </si>
  <si>
    <t>gal/hr</t>
  </si>
  <si>
    <t>Gal =</t>
  </si>
  <si>
    <t>mi/gallon</t>
  </si>
  <si>
    <t>1345</t>
  </si>
  <si>
    <t>1354</t>
  </si>
  <si>
    <t>1416</t>
  </si>
  <si>
    <t>1504</t>
  </si>
  <si>
    <t>WNW</t>
  </si>
  <si>
    <t>150</t>
  </si>
  <si>
    <t>Under way for Bellingham</t>
  </si>
  <si>
    <t>Enter breakwater for fuel</t>
  </si>
  <si>
    <t>Finished fuel &amp; Pumpout</t>
  </si>
  <si>
    <t>In Slip 18</t>
  </si>
  <si>
    <t>1515</t>
  </si>
</sst>
</file>

<file path=xl/styles.xml><?xml version="1.0" encoding="utf-8"?>
<styleSheet xmlns="http://schemas.openxmlformats.org/spreadsheetml/2006/main">
  <numFmts count="5">
    <numFmt numFmtId="164" formatCode="h:mm;@"/>
    <numFmt numFmtId="165" formatCode="0.0"/>
    <numFmt numFmtId="166" formatCode="m/d/yy\ h:mm;@"/>
    <numFmt numFmtId="167" formatCode="&quot;$&quot;#,##0.00"/>
    <numFmt numFmtId="168" formatCode="&quot;$&quot;#,##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166" fontId="0" fillId="0" borderId="0" xfId="0" applyNumberFormat="1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0" fillId="3" borderId="0" xfId="0" applyFill="1"/>
    <xf numFmtId="0" fontId="2" fillId="4" borderId="0" xfId="0" applyFont="1" applyFill="1"/>
    <xf numFmtId="0" fontId="0" fillId="0" borderId="0" xfId="0" quotePrefix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8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Border="1"/>
    <xf numFmtId="0" fontId="7" fillId="0" borderId="0" xfId="0" applyFont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3" fillId="0" borderId="14" xfId="0" applyFont="1" applyFill="1" applyBorder="1"/>
    <xf numFmtId="0" fontId="0" fillId="0" borderId="14" xfId="0" applyBorder="1"/>
    <xf numFmtId="0" fontId="3" fillId="0" borderId="14" xfId="0" applyFont="1" applyBorder="1"/>
    <xf numFmtId="0" fontId="0" fillId="0" borderId="14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5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3" fillId="6" borderId="0" xfId="0" applyFont="1" applyFill="1"/>
    <xf numFmtId="0" fontId="0" fillId="6" borderId="0" xfId="0" applyFill="1"/>
    <xf numFmtId="20" fontId="0" fillId="6" borderId="14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0" fontId="3" fillId="0" borderId="1" xfId="0" applyFont="1" applyFill="1" applyBorder="1"/>
    <xf numFmtId="0" fontId="3" fillId="0" borderId="8" xfId="0" applyFont="1" applyFill="1" applyBorder="1"/>
    <xf numFmtId="0" fontId="3" fillId="0" borderId="15" xfId="0" applyFont="1" applyBorder="1"/>
    <xf numFmtId="0" fontId="3" fillId="0" borderId="6" xfId="0" applyFont="1" applyBorder="1"/>
    <xf numFmtId="167" fontId="0" fillId="0" borderId="8" xfId="0" applyNumberFormat="1" applyBorder="1"/>
    <xf numFmtId="0" fontId="3" fillId="0" borderId="12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5" borderId="14" xfId="0" applyNumberFormat="1" applyFill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6" borderId="0" xfId="0" applyFill="1" applyAlignment="1">
      <alignment horizontal="center"/>
    </xf>
    <xf numFmtId="165" fontId="0" fillId="0" borderId="0" xfId="0" applyNumberFormat="1"/>
    <xf numFmtId="3" fontId="0" fillId="0" borderId="0" xfId="0" applyNumberFormat="1"/>
    <xf numFmtId="0" fontId="3" fillId="6" borderId="14" xfId="0" applyFon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3" fillId="0" borderId="0" xfId="0" quotePrefix="1" applyFont="1"/>
    <xf numFmtId="0" fontId="3" fillId="0" borderId="0" xfId="0" applyFont="1" applyFill="1" applyBorder="1"/>
    <xf numFmtId="0" fontId="2" fillId="0" borderId="0" xfId="0" applyFont="1" applyBorder="1"/>
    <xf numFmtId="20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0" fontId="3" fillId="0" borderId="3" xfId="0" applyFont="1" applyBorder="1"/>
    <xf numFmtId="167" fontId="3" fillId="0" borderId="8" xfId="0" applyNumberFormat="1" applyFont="1" applyFill="1" applyBorder="1"/>
    <xf numFmtId="167" fontId="0" fillId="6" borderId="10" xfId="0" applyNumberFormat="1" applyFill="1" applyBorder="1"/>
    <xf numFmtId="20" fontId="3" fillId="0" borderId="14" xfId="0" applyNumberFormat="1" applyFont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168" fontId="0" fillId="0" borderId="0" xfId="0" applyNumberFormat="1" applyBorder="1"/>
    <xf numFmtId="168" fontId="0" fillId="0" borderId="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3" fillId="0" borderId="0" xfId="0" applyFont="1" applyFill="1" applyBorder="1" applyAlignment="1">
      <alignment horizontal="right"/>
    </xf>
    <xf numFmtId="167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8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0" fillId="0" borderId="25" xfId="0" applyBorder="1" applyAlignment="1">
      <alignment horizontal="center"/>
    </xf>
    <xf numFmtId="0" fontId="0" fillId="0" borderId="27" xfId="0" applyBorder="1"/>
    <xf numFmtId="0" fontId="0" fillId="0" borderId="26" xfId="0" applyBorder="1"/>
    <xf numFmtId="0" fontId="0" fillId="0" borderId="28" xfId="0" applyBorder="1" applyAlignment="1">
      <alignment horizontal="center"/>
    </xf>
    <xf numFmtId="0" fontId="0" fillId="0" borderId="30" xfId="0" applyBorder="1"/>
    <xf numFmtId="0" fontId="0" fillId="0" borderId="29" xfId="0" applyBorder="1"/>
    <xf numFmtId="20" fontId="0" fillId="0" borderId="0" xfId="0" applyNumberFormat="1" applyFill="1" applyBorder="1" applyAlignment="1">
      <alignment horizontal="center"/>
    </xf>
    <xf numFmtId="0" fontId="0" fillId="6" borderId="14" xfId="0" applyNumberFormat="1" applyFill="1" applyBorder="1" applyAlignment="1">
      <alignment horizontal="center"/>
    </xf>
    <xf numFmtId="0" fontId="2" fillId="0" borderId="29" xfId="0" applyFont="1" applyBorder="1"/>
    <xf numFmtId="0" fontId="2" fillId="0" borderId="29" xfId="0" applyFont="1" applyBorder="1" applyAlignment="1">
      <alignment horizontal="center"/>
    </xf>
    <xf numFmtId="0" fontId="0" fillId="0" borderId="31" xfId="0" applyBorder="1"/>
    <xf numFmtId="0" fontId="0" fillId="0" borderId="29" xfId="0" applyBorder="1" applyAlignment="1">
      <alignment horizontal="center"/>
    </xf>
    <xf numFmtId="0" fontId="0" fillId="0" borderId="28" xfId="0" applyBorder="1"/>
    <xf numFmtId="0" fontId="0" fillId="0" borderId="26" xfId="0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64" fontId="3" fillId="6" borderId="14" xfId="0" applyNumberFormat="1" applyFont="1" applyFill="1" applyBorder="1" applyAlignment="1">
      <alignment horizontal="center"/>
    </xf>
    <xf numFmtId="20" fontId="3" fillId="6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165" fontId="0" fillId="7" borderId="0" xfId="0" applyNumberFormat="1" applyFill="1" applyAlignment="1">
      <alignment horizontal="center"/>
    </xf>
    <xf numFmtId="49" fontId="3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/>
    <xf numFmtId="49" fontId="3" fillId="0" borderId="14" xfId="0" applyNumberFormat="1" applyFon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3" fillId="0" borderId="31" xfId="0" applyFont="1" applyBorder="1"/>
    <xf numFmtId="0" fontId="3" fillId="0" borderId="26" xfId="0" applyFont="1" applyBorder="1" applyAlignment="1">
      <alignment horizontal="center"/>
    </xf>
    <xf numFmtId="49" fontId="0" fillId="0" borderId="31" xfId="0" applyNumberFormat="1" applyBorder="1"/>
    <xf numFmtId="49" fontId="3" fillId="0" borderId="31" xfId="0" applyNumberFormat="1" applyFont="1" applyBorder="1"/>
    <xf numFmtId="49" fontId="0" fillId="0" borderId="14" xfId="0" applyNumberForma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workbookViewId="0"/>
  </sheetViews>
  <sheetFormatPr defaultRowHeight="12.75"/>
  <cols>
    <col min="1" max="1" width="5.5703125" style="3" customWidth="1"/>
    <col min="2" max="2" width="11.140625" style="3" customWidth="1"/>
    <col min="3" max="3" width="24.5703125" customWidth="1"/>
    <col min="4" max="4" width="24.140625" customWidth="1"/>
    <col min="5" max="5" width="9.140625" style="3" customWidth="1"/>
    <col min="6" max="6" width="7.85546875" style="3" customWidth="1"/>
    <col min="7" max="7" width="10.42578125" style="3" customWidth="1"/>
    <col min="8" max="9" width="7.28515625" style="3" customWidth="1"/>
    <col min="10" max="10" width="7.85546875" style="3" customWidth="1"/>
    <col min="11" max="11" width="8.42578125" style="3" customWidth="1"/>
    <col min="12" max="12" width="8.140625" style="3" customWidth="1"/>
    <col min="13" max="13" width="13.28515625" customWidth="1"/>
    <col min="18" max="18" width="15.85546875" customWidth="1"/>
    <col min="22" max="22" width="18.140625" customWidth="1"/>
  </cols>
  <sheetData>
    <row r="1" spans="1:22" ht="15.75">
      <c r="A1" s="8" t="s">
        <v>158</v>
      </c>
      <c r="E1" s="9" t="s">
        <v>21</v>
      </c>
      <c r="F1" s="10"/>
      <c r="G1" s="10"/>
    </row>
    <row r="2" spans="1:22">
      <c r="E2" s="12" t="s">
        <v>159</v>
      </c>
      <c r="K2" s="3" t="s">
        <v>45</v>
      </c>
      <c r="O2" s="14" t="s">
        <v>23</v>
      </c>
      <c r="V2" s="16" t="s">
        <v>22</v>
      </c>
    </row>
    <row r="3" spans="1:22" s="1" customFormat="1">
      <c r="A3" s="2" t="s">
        <v>13</v>
      </c>
      <c r="B3" s="2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2" t="s">
        <v>14</v>
      </c>
      <c r="I3" s="2" t="s">
        <v>6</v>
      </c>
      <c r="J3" s="2" t="s">
        <v>8</v>
      </c>
      <c r="K3" s="2" t="s">
        <v>10</v>
      </c>
      <c r="L3" s="2" t="s">
        <v>10</v>
      </c>
      <c r="O3" s="1" t="s">
        <v>3</v>
      </c>
      <c r="P3" s="1" t="s">
        <v>4</v>
      </c>
      <c r="Q3" s="1" t="s">
        <v>5</v>
      </c>
      <c r="U3" s="18"/>
      <c r="V3" t="str">
        <f>"&lt;TR&gt;&lt;TD&gt;"&amp;A3&amp;"&lt;/TD&gt;&lt;TD&gt;"&amp;B3&amp;"&lt;/TD&gt;&lt;TD&gt;"&amp;C3&amp;"&lt;/TD&gt;&lt;TD&gt;"&amp;D3&amp;"&lt;/TD&gt;&lt;TD&gt;"&amp;E3&amp;"&lt;/TD&gt;&lt;TD&gt;"&amp;F3&amp;"&lt;/TD&gt;&lt;TD&gt;"&amp;G3&amp;"&lt;/TD&gt;&lt;TD&gt;"&amp;H3&amp;"&lt;/TD&gt;&lt;TD&gt;"&amp;I3&amp;"&lt;/TD&gt;&lt;TD&gt;"&amp;J3&amp;"&lt;/TD&gt;&lt;TD&gt;"&amp;K3&amp;"&lt;/TD&gt;&lt;TD&gt;"&amp;L3&amp;"&lt;/TD&gt;&lt;/TR&gt;"</f>
        <v>&lt;TR&gt;&lt;TD&gt;Day&lt;/TD&gt;&lt;TD&gt;Date&lt;/TD&gt;&lt;TD&gt;From&lt;/TD&gt;&lt;TD&gt;To&lt;/TD&gt;&lt;TD&gt;Depart&lt;/TD&gt;&lt;TD&gt;Arrive&lt;/TD&gt;&lt;TD&gt;Elapsed&lt;/TD&gt;&lt;TD&gt;Plan&lt;/TD&gt;&lt;TD&gt;Track&lt;/TD&gt;&lt;TD&gt;Ave&lt;/TD&gt;&lt;TD&gt;Engine&lt;/TD&gt;&lt;TD&gt;Engine&lt;/TD&gt;&lt;/TR&gt;</v>
      </c>
    </row>
    <row r="4" spans="1:22" s="1" customFormat="1">
      <c r="A4" s="2"/>
      <c r="B4" s="2"/>
      <c r="E4" s="2"/>
      <c r="F4" s="2"/>
      <c r="G4" s="2"/>
      <c r="H4" s="2" t="s">
        <v>7</v>
      </c>
      <c r="I4" s="2" t="s">
        <v>7</v>
      </c>
      <c r="J4" s="2" t="s">
        <v>9</v>
      </c>
      <c r="K4" s="2" t="s">
        <v>19</v>
      </c>
      <c r="L4" s="2" t="s">
        <v>12</v>
      </c>
      <c r="U4" s="18"/>
      <c r="V4" t="str">
        <f>"&lt;TR&gt;&lt;TD&gt;"&amp;A4&amp;"&lt;/TD&gt;&lt;TD&gt;"&amp;B4&amp;"&lt;/TD&gt;&lt;TD&gt;"&amp;C4&amp;"&lt;/TD&gt;&lt;TD&gt;"&amp;D4&amp;"&lt;/TD&gt;&lt;TD&gt;"&amp;E4&amp;"&lt;/TD&gt;&lt;TD&gt;"&amp;F4&amp;"&lt;/TD&gt;&lt;TD&gt;"&amp;G4&amp;"&lt;/TD&gt;&lt;TD&gt;"&amp;H4&amp;"&lt;/TD&gt;&lt;TD&gt;"&amp;I4&amp;"&lt;/TD&gt;&lt;TD&gt;"&amp;J4&amp;"&lt;/TD&gt;&lt;TD&gt;"&amp;K4&amp;"&lt;/TD&gt;&lt;TD&gt;"&amp;L4&amp;"&lt;/TD&gt;&lt;/TR&gt;"</f>
        <v>&lt;TR&gt;&lt;TD&gt;&lt;/TD&gt;&lt;TD&gt;&lt;/TD&gt;&lt;TD&gt;&lt;/TD&gt;&lt;TD&gt;&lt;/TD&gt;&lt;TD&gt;&lt;/TD&gt;&lt;TD&gt;&lt;/TD&gt;&lt;TD&gt;&lt;/TD&gt;&lt;TD&gt;Miles&lt;/TD&gt;&lt;TD&gt;Miles&lt;/TD&gt;&lt;TD&gt;Speed&lt;/TD&gt;&lt;TD&gt;Hour&lt;/TD&gt;&lt;TD&gt;Time&lt;/TD&gt;&lt;/TR&gt;</v>
      </c>
    </row>
    <row r="5" spans="1:22" s="1" customFormat="1">
      <c r="A5" s="2"/>
      <c r="B5" s="2"/>
      <c r="E5" s="2"/>
      <c r="F5" s="2"/>
      <c r="G5" s="7" t="s">
        <v>15</v>
      </c>
      <c r="H5" s="7" t="s">
        <v>16</v>
      </c>
      <c r="I5" s="7" t="s">
        <v>16</v>
      </c>
      <c r="J5" s="7" t="s">
        <v>17</v>
      </c>
      <c r="K5" s="2" t="s">
        <v>20</v>
      </c>
      <c r="L5" s="4" t="s">
        <v>11</v>
      </c>
      <c r="U5" s="18"/>
      <c r="V5" t="str">
        <f>"&lt;TR&gt;&lt;TD&gt;"&amp;A5&amp;"&lt;/TD&gt;&lt;TD&gt;"&amp;B5&amp;"&lt;/TD&gt;&lt;TD&gt;"&amp;C5&amp;"&lt;/TD&gt;&lt;TD&gt;"&amp;D5&amp;"&lt;/TD&gt;&lt;TD&gt;"&amp;E5&amp;"&lt;/TD&gt;&lt;TD&gt;"&amp;F5&amp;"&lt;/TD&gt;&lt;TD&gt;"&amp;G5&amp;"&lt;/TD&gt;&lt;TD&gt;"&amp;H5&amp;"&lt;/TD&gt;&lt;TD&gt;"&amp;I5&amp;"&lt;/TD&gt;&lt;TD&gt;"&amp;J5&amp;"&lt;/TD&gt;&lt;TD&gt;"&amp;K5&amp;"&lt;/TD&gt;&lt;TD&gt;"&amp;L5&amp;"&lt;/TD&gt;&lt;/TR&gt;"</f>
        <v>&lt;TR&gt;&lt;TD&gt;&lt;/TD&gt;&lt;TD&gt;&lt;/TD&gt;&lt;TD&gt;&lt;/TD&gt;&lt;TD&gt;&lt;/TD&gt;&lt;TD&gt;&lt;/TD&gt;&lt;TD&gt;&lt;/TD&gt;&lt;TD&gt;HH:MM&lt;/TD&gt;&lt;TD&gt;NM&lt;/TD&gt;&lt;TD&gt;NM&lt;/TD&gt;&lt;TD&gt;Knots&lt;/TD&gt;&lt;TD&gt;Meter&lt;/TD&gt;&lt;TD&gt;Hours&lt;/TD&gt;&lt;/TR&gt;</v>
      </c>
    </row>
    <row r="6" spans="1:22" s="1" customFormat="1">
      <c r="A6" s="2"/>
      <c r="B6" s="2"/>
      <c r="E6" s="2"/>
      <c r="F6" s="2"/>
      <c r="G6" s="7"/>
      <c r="H6" s="7"/>
      <c r="I6" s="7"/>
      <c r="J6" s="7"/>
      <c r="K6" s="141">
        <v>251.6</v>
      </c>
      <c r="L6" s="4"/>
      <c r="U6" s="18"/>
      <c r="V6" t="str">
        <f>"&lt;TR&gt;&lt;TD&gt;"&amp;A6&amp;"&lt;/TD&gt;&lt;TD&gt;"&amp;B6&amp;"&lt;/TD&gt;&lt;TD&gt;"&amp;C6&amp;"&lt;/TD&gt;&lt;TD&gt;"&amp;D6&amp;"&lt;/TD&gt;&lt;TD&gt;"&amp;E6&amp;"&lt;/TD&gt;&lt;TD&gt;"&amp;F6&amp;"&lt;/TD&gt;&lt;TD&gt;"&amp;G6&amp;"&lt;/TD&gt;&lt;TD&gt;"&amp;H6&amp;"&lt;/TD&gt;&lt;TD&gt;"&amp;I6&amp;"&lt;/TD&gt;&lt;TD&gt;"&amp;J6&amp;"&lt;/TD&gt;&lt;TD&gt;"&amp;K6&amp;"&lt;/TD&gt;&lt;TD&gt;"&amp;L6&amp;"&lt;/TD&gt;&lt;/TR&gt;"</f>
        <v>&lt;TR&gt;&lt;TD&gt;&lt;/TD&gt;&lt;TD&gt;&lt;/TD&gt;&lt;TD&gt;&lt;/TD&gt;&lt;TD&gt;&lt;/TD&gt;&lt;TD&gt;&lt;/TD&gt;&lt;TD&gt;&lt;/TD&gt;&lt;TD&gt;&lt;/TD&gt;&lt;TD&gt;&lt;/TD&gt;&lt;TD&gt;&lt;/TD&gt;&lt;TD&gt;&lt;/TD&gt;&lt;TD&gt;251.6&lt;/TD&gt;&lt;TD&gt;&lt;/TD&gt;&lt;/TR&gt;</v>
      </c>
    </row>
    <row r="7" spans="1:22" ht="12.75" customHeight="1">
      <c r="A7" s="3">
        <v>1</v>
      </c>
      <c r="B7" s="142" t="s">
        <v>160</v>
      </c>
      <c r="C7" t="s">
        <v>30</v>
      </c>
      <c r="D7" s="15" t="s">
        <v>30</v>
      </c>
      <c r="E7" s="5"/>
      <c r="F7" s="5"/>
      <c r="G7" s="5" t="str">
        <f t="shared" ref="G7:G34" si="0">IF(F7&gt;0,F7-E7,"-")</f>
        <v>-</v>
      </c>
      <c r="H7" s="3">
        <v>0</v>
      </c>
      <c r="J7" s="6" t="str">
        <f t="shared" ref="J7:J34" si="1">IF(F7&gt;0,ROUND(I7/(HOUR(G7)+(MINUTE(G7)/60)),1),"-")</f>
        <v>-</v>
      </c>
      <c r="K7" s="6">
        <v>251.6</v>
      </c>
      <c r="L7" s="6">
        <f t="shared" ref="L7:L24" si="2">IF(K7&gt;0,ROUND(K7-K6,1),0)</f>
        <v>0</v>
      </c>
      <c r="M7" s="13" t="str">
        <f t="shared" ref="M7:M34" si="3">G7</f>
        <v>-</v>
      </c>
      <c r="O7" t="str">
        <f t="shared" ref="O7:Q26" si="4">IF($F7&gt;0,HOUR(E7)&amp;":"&amp;IF(MINUTE(E7)&lt;10,"0"&amp;MINUTE(E7),MINUTE(E7)),"-")</f>
        <v>-</v>
      </c>
      <c r="P7" t="str">
        <f t="shared" si="4"/>
        <v>-</v>
      </c>
      <c r="Q7" t="str">
        <f t="shared" si="4"/>
        <v>-</v>
      </c>
      <c r="R7" t="s">
        <v>26</v>
      </c>
      <c r="S7" s="19" t="s">
        <v>27</v>
      </c>
      <c r="T7" s="19" t="s">
        <v>28</v>
      </c>
      <c r="U7" s="17"/>
      <c r="V7" t="str">
        <f t="shared" ref="V7:V35" si="5">"&lt;TR&gt;&lt;TD&gt;"&amp;A7&amp;"&lt;/TD&gt;&lt;TD&gt;"&amp;R7&amp;A7&amp;S7&amp;B7&amp;T7&amp;"&lt;/TD&gt;&lt;TD&gt;"&amp;C7&amp;"&lt;/TD&gt;&lt;TD&gt;"&amp;D7&amp;"&lt;/TD&gt;&lt;TD&gt;"&amp;O7&amp;"&lt;/TD&gt;&lt;TD&gt;"&amp;P7&amp;"&lt;/TD&gt;&lt;TD&gt;"&amp;Q7&amp;"&lt;/TD&gt;&lt;TD&gt;"&amp;H7&amp;"&lt;/TD&gt;&lt;TD&gt;"&amp;I7&amp;"&lt;/TD&gt;&lt;TD&gt;"&amp;J7&amp;"&lt;/TD&gt;&lt;TD&gt;"&amp;K7&amp;"&lt;/TD&gt;&lt;TD&gt;"&amp;L7&amp;"&lt;/TD&gt;&lt;/TR&gt;"</f>
        <v>&lt;TR&gt;&lt;TD&gt;1&lt;/TD&gt;&lt;TD&gt; &lt;a href="#Day-1"&gt;Sat 8/14&lt;/a&gt;&lt;/TD&gt;&lt;TD&gt;Bellingham&lt;/TD&gt;&lt;TD&gt;Bellingham&lt;/TD&gt;&lt;TD&gt;-&lt;/TD&gt;&lt;TD&gt;-&lt;/TD&gt;&lt;TD&gt;-&lt;/TD&gt;&lt;TD&gt;0&lt;/TD&gt;&lt;TD&gt;&lt;/TD&gt;&lt;TD&gt;-&lt;/TD&gt;&lt;TD&gt;251.6&lt;/TD&gt;&lt;TD&gt;0&lt;/TD&gt;&lt;/TR&gt;</v>
      </c>
    </row>
    <row r="8" spans="1:22" ht="12.75" customHeight="1">
      <c r="A8" s="3">
        <v>2</v>
      </c>
      <c r="B8" s="142" t="s">
        <v>161</v>
      </c>
      <c r="C8" s="15" t="s">
        <v>30</v>
      </c>
      <c r="D8" s="15" t="s">
        <v>162</v>
      </c>
      <c r="E8" s="5">
        <v>0.38263888888888892</v>
      </c>
      <c r="F8" s="5">
        <v>0.54166666666666663</v>
      </c>
      <c r="G8" s="5">
        <f t="shared" si="0"/>
        <v>0.15902777777777771</v>
      </c>
      <c r="H8" s="3">
        <v>16</v>
      </c>
      <c r="I8" s="3">
        <v>22.9</v>
      </c>
      <c r="J8" s="6">
        <f t="shared" si="1"/>
        <v>6</v>
      </c>
      <c r="K8" s="6">
        <v>255.8</v>
      </c>
      <c r="L8" s="6">
        <f t="shared" si="2"/>
        <v>4.2</v>
      </c>
      <c r="M8" s="13">
        <f t="shared" si="3"/>
        <v>0.15902777777777771</v>
      </c>
      <c r="O8" t="str">
        <f t="shared" si="4"/>
        <v>9:11</v>
      </c>
      <c r="P8" t="str">
        <f t="shared" si="4"/>
        <v>13:00</v>
      </c>
      <c r="Q8" t="str">
        <f t="shared" si="4"/>
        <v>3:49</v>
      </c>
      <c r="R8" t="s">
        <v>26</v>
      </c>
      <c r="S8" s="19" t="s">
        <v>27</v>
      </c>
      <c r="T8" s="19" t="s">
        <v>28</v>
      </c>
      <c r="U8" s="17"/>
      <c r="V8" t="str">
        <f t="shared" si="5"/>
        <v>&lt;TR&gt;&lt;TD&gt;2&lt;/TD&gt;&lt;TD&gt; &lt;a href="#Day-2"&gt;Sun 8/15&lt;/a&gt;&lt;/TD&gt;&lt;TD&gt;Bellingham&lt;/TD&gt;&lt;TD&gt;Anacortes Cap Sante&lt;/TD&gt;&lt;TD&gt;9:11&lt;/TD&gt;&lt;TD&gt;13:00&lt;/TD&gt;&lt;TD&gt;3:49&lt;/TD&gt;&lt;TD&gt;16&lt;/TD&gt;&lt;TD&gt;22.9&lt;/TD&gt;&lt;TD&gt;6&lt;/TD&gt;&lt;TD&gt;255.8&lt;/TD&gt;&lt;TD&gt;4.2&lt;/TD&gt;&lt;/TR&gt;</v>
      </c>
    </row>
    <row r="9" spans="1:22" ht="12.75" customHeight="1">
      <c r="A9" s="3">
        <v>3</v>
      </c>
      <c r="B9" s="142" t="s">
        <v>163</v>
      </c>
      <c r="C9" s="15" t="s">
        <v>162</v>
      </c>
      <c r="D9" s="15" t="s">
        <v>131</v>
      </c>
      <c r="E9" s="5">
        <v>0.29583333333333334</v>
      </c>
      <c r="F9" s="5">
        <v>0.43888888888888888</v>
      </c>
      <c r="G9" s="5">
        <f t="shared" si="0"/>
        <v>0.14305555555555555</v>
      </c>
      <c r="H9" s="3">
        <v>31</v>
      </c>
      <c r="I9" s="3">
        <v>30.3</v>
      </c>
      <c r="J9" s="6">
        <f t="shared" si="1"/>
        <v>8.8000000000000007</v>
      </c>
      <c r="K9" s="6">
        <v>259.7</v>
      </c>
      <c r="L9" s="6">
        <f t="shared" si="2"/>
        <v>3.9</v>
      </c>
      <c r="M9" s="13">
        <f t="shared" si="3"/>
        <v>0.14305555555555555</v>
      </c>
      <c r="O9" t="str">
        <f t="shared" si="4"/>
        <v>7:06</v>
      </c>
      <c r="P9" t="str">
        <f t="shared" si="4"/>
        <v>10:32</v>
      </c>
      <c r="Q9" t="str">
        <f t="shared" si="4"/>
        <v>3:26</v>
      </c>
      <c r="R9" t="s">
        <v>26</v>
      </c>
      <c r="S9" s="19" t="s">
        <v>27</v>
      </c>
      <c r="T9" s="19" t="s">
        <v>28</v>
      </c>
      <c r="U9" s="17"/>
      <c r="V9" t="str">
        <f t="shared" si="5"/>
        <v>&lt;TR&gt;&lt;TD&gt;3&lt;/TD&gt;&lt;TD&gt; &lt;a href="#Day-3"&gt;Mon 8/16&lt;/a&gt;&lt;/TD&gt;&lt;TD&gt;Anacortes Cap Sante&lt;/TD&gt;&lt;TD&gt;Port Townsend Point Hudson&lt;/TD&gt;&lt;TD&gt;7:06&lt;/TD&gt;&lt;TD&gt;10:32&lt;/TD&gt;&lt;TD&gt;3:26&lt;/TD&gt;&lt;TD&gt;31&lt;/TD&gt;&lt;TD&gt;30.3&lt;/TD&gt;&lt;TD&gt;8.8&lt;/TD&gt;&lt;TD&gt;259.7&lt;/TD&gt;&lt;TD&gt;3.9&lt;/TD&gt;&lt;/TR&gt;</v>
      </c>
    </row>
    <row r="10" spans="1:22" ht="13.5" customHeight="1">
      <c r="A10" s="3">
        <v>4</v>
      </c>
      <c r="B10" s="142" t="s">
        <v>164</v>
      </c>
      <c r="C10" s="15" t="s">
        <v>131</v>
      </c>
      <c r="D10" s="15" t="s">
        <v>132</v>
      </c>
      <c r="E10" s="5">
        <v>0.3611111111111111</v>
      </c>
      <c r="F10" s="5">
        <v>0.54861111111111105</v>
      </c>
      <c r="G10" s="5">
        <f t="shared" si="0"/>
        <v>0.18749999999999994</v>
      </c>
      <c r="H10" s="3">
        <v>36</v>
      </c>
      <c r="I10" s="3">
        <v>36.4</v>
      </c>
      <c r="J10" s="6">
        <f t="shared" si="1"/>
        <v>8.1</v>
      </c>
      <c r="K10" s="6">
        <v>264.8</v>
      </c>
      <c r="L10" s="6">
        <f t="shared" si="2"/>
        <v>5.0999999999999996</v>
      </c>
      <c r="M10" s="13">
        <f t="shared" si="3"/>
        <v>0.18749999999999994</v>
      </c>
      <c r="O10" t="str">
        <f t="shared" si="4"/>
        <v>8:40</v>
      </c>
      <c r="P10" t="str">
        <f t="shared" si="4"/>
        <v>13:10</v>
      </c>
      <c r="Q10" t="str">
        <f t="shared" si="4"/>
        <v>4:30</v>
      </c>
      <c r="R10" t="s">
        <v>26</v>
      </c>
      <c r="S10" s="19" t="s">
        <v>27</v>
      </c>
      <c r="T10" s="19" t="s">
        <v>28</v>
      </c>
      <c r="U10" s="17"/>
      <c r="V10" t="str">
        <f t="shared" si="5"/>
        <v>&lt;TR&gt;&lt;TD&gt;4&lt;/TD&gt;&lt;TD&gt; &lt;a href="#Day-4"&gt;Tue 8/17&lt;/a&gt;&lt;/TD&gt;&lt;TD&gt;Port Townsend Point Hudson&lt;/TD&gt;&lt;TD&gt;Pleasant Hbr Marina&lt;/TD&gt;&lt;TD&gt;8:40&lt;/TD&gt;&lt;TD&gt;13:10&lt;/TD&gt;&lt;TD&gt;4:30&lt;/TD&gt;&lt;TD&gt;36&lt;/TD&gt;&lt;TD&gt;36.4&lt;/TD&gt;&lt;TD&gt;8.1&lt;/TD&gt;&lt;TD&gt;264.8&lt;/TD&gt;&lt;TD&gt;5.1&lt;/TD&gt;&lt;/TR&gt;</v>
      </c>
    </row>
    <row r="11" spans="1:22" ht="13.5" customHeight="1">
      <c r="A11" s="3">
        <v>5</v>
      </c>
      <c r="B11" s="142" t="s">
        <v>165</v>
      </c>
      <c r="C11" s="15" t="s">
        <v>132</v>
      </c>
      <c r="D11" s="15" t="s">
        <v>133</v>
      </c>
      <c r="E11" s="5">
        <v>0.39583333333333331</v>
      </c>
      <c r="F11" s="5">
        <v>0.60902777777777783</v>
      </c>
      <c r="G11" s="5">
        <f t="shared" si="0"/>
        <v>0.21319444444444452</v>
      </c>
      <c r="H11" s="3">
        <v>46</v>
      </c>
      <c r="I11" s="3">
        <v>43.9</v>
      </c>
      <c r="J11" s="6">
        <f t="shared" si="1"/>
        <v>8.6</v>
      </c>
      <c r="K11" s="6">
        <v>270.3</v>
      </c>
      <c r="L11" s="6">
        <f t="shared" si="2"/>
        <v>5.5</v>
      </c>
      <c r="M11" s="13">
        <f t="shared" si="3"/>
        <v>0.21319444444444452</v>
      </c>
      <c r="O11" t="str">
        <f t="shared" si="4"/>
        <v>9:30</v>
      </c>
      <c r="P11" t="str">
        <f t="shared" si="4"/>
        <v>14:37</v>
      </c>
      <c r="Q11" t="str">
        <f t="shared" si="4"/>
        <v>5:07</v>
      </c>
      <c r="R11" t="s">
        <v>26</v>
      </c>
      <c r="S11" s="19" t="s">
        <v>27</v>
      </c>
      <c r="T11" s="19" t="s">
        <v>28</v>
      </c>
      <c r="U11" s="17"/>
      <c r="V11" t="str">
        <f t="shared" si="5"/>
        <v>&lt;TR&gt;&lt;TD&gt;5&lt;/TD&gt;&lt;TD&gt; &lt;a href="#Day-5"&gt;Wed 8/18&lt;/a&gt;&lt;/TD&gt;&lt;TD&gt;Pleasant Hbr Marina&lt;/TD&gt;&lt;TD&gt;Shilshole Bay Marina&lt;/TD&gt;&lt;TD&gt;9:30&lt;/TD&gt;&lt;TD&gt;14:37&lt;/TD&gt;&lt;TD&gt;5:07&lt;/TD&gt;&lt;TD&gt;46&lt;/TD&gt;&lt;TD&gt;43.9&lt;/TD&gt;&lt;TD&gt;8.6&lt;/TD&gt;&lt;TD&gt;270.3&lt;/TD&gt;&lt;TD&gt;5.5&lt;/TD&gt;&lt;/TR&gt;</v>
      </c>
    </row>
    <row r="12" spans="1:22" ht="12.75" customHeight="1">
      <c r="A12" s="3">
        <v>6</v>
      </c>
      <c r="B12" s="142" t="s">
        <v>166</v>
      </c>
      <c r="C12" s="15" t="s">
        <v>133</v>
      </c>
      <c r="D12" s="15" t="s">
        <v>133</v>
      </c>
      <c r="E12" s="5">
        <v>0.31527777777777777</v>
      </c>
      <c r="F12" s="5">
        <v>0.57847222222222217</v>
      </c>
      <c r="G12" s="5">
        <f t="shared" si="0"/>
        <v>0.2631944444444444</v>
      </c>
      <c r="H12" s="3">
        <v>33</v>
      </c>
      <c r="I12" s="3">
        <v>35.4</v>
      </c>
      <c r="J12" s="6">
        <f t="shared" si="1"/>
        <v>5.6</v>
      </c>
      <c r="K12" s="6">
        <v>278</v>
      </c>
      <c r="L12" s="6">
        <f t="shared" si="2"/>
        <v>7.7</v>
      </c>
      <c r="M12" s="13">
        <f t="shared" si="3"/>
        <v>0.2631944444444444</v>
      </c>
      <c r="O12" t="str">
        <f t="shared" si="4"/>
        <v>7:34</v>
      </c>
      <c r="P12" t="str">
        <f t="shared" si="4"/>
        <v>13:53</v>
      </c>
      <c r="Q12" t="str">
        <f t="shared" si="4"/>
        <v>6:19</v>
      </c>
      <c r="R12" t="s">
        <v>26</v>
      </c>
      <c r="S12" s="19" t="s">
        <v>27</v>
      </c>
      <c r="T12" s="19" t="s">
        <v>28</v>
      </c>
      <c r="U12" s="17"/>
      <c r="V12" t="str">
        <f t="shared" si="5"/>
        <v>&lt;TR&gt;&lt;TD&gt;6&lt;/TD&gt;&lt;TD&gt; &lt;a href="#Day-6"&gt;Thu 8/19&lt;/a&gt;&lt;/TD&gt;&lt;TD&gt;Shilshole Bay Marina&lt;/TD&gt;&lt;TD&gt;Shilshole Bay Marina&lt;/TD&gt;&lt;TD&gt;7:34&lt;/TD&gt;&lt;TD&gt;13:53&lt;/TD&gt;&lt;TD&gt;6:19&lt;/TD&gt;&lt;TD&gt;33&lt;/TD&gt;&lt;TD&gt;35.4&lt;/TD&gt;&lt;TD&gt;5.6&lt;/TD&gt;&lt;TD&gt;278&lt;/TD&gt;&lt;TD&gt;7.7&lt;/TD&gt;&lt;/TR&gt;</v>
      </c>
    </row>
    <row r="13" spans="1:22" ht="12.75" customHeight="1">
      <c r="A13" s="3">
        <v>7</v>
      </c>
      <c r="B13" s="142" t="s">
        <v>167</v>
      </c>
      <c r="C13" s="15" t="s">
        <v>133</v>
      </c>
      <c r="D13" s="49" t="s">
        <v>284</v>
      </c>
      <c r="E13" s="5">
        <v>0.3347222222222222</v>
      </c>
      <c r="F13" s="5">
        <v>0.625</v>
      </c>
      <c r="G13" s="5">
        <f t="shared" si="0"/>
        <v>0.2902777777777778</v>
      </c>
      <c r="H13" s="3">
        <v>48</v>
      </c>
      <c r="I13" s="3">
        <f>15.3+9.1+0.1+7.5+11.6+2.58</f>
        <v>46.18</v>
      </c>
      <c r="J13" s="6">
        <f t="shared" si="1"/>
        <v>6.6</v>
      </c>
      <c r="K13" s="6">
        <v>285.3</v>
      </c>
      <c r="L13" s="6">
        <f t="shared" si="2"/>
        <v>7.3</v>
      </c>
      <c r="M13" s="13">
        <f t="shared" si="3"/>
        <v>0.2902777777777778</v>
      </c>
      <c r="O13" t="str">
        <f t="shared" si="4"/>
        <v>8:02</v>
      </c>
      <c r="P13" t="str">
        <f t="shared" si="4"/>
        <v>15:00</v>
      </c>
      <c r="Q13" t="str">
        <f t="shared" si="4"/>
        <v>6:58</v>
      </c>
      <c r="R13" t="s">
        <v>26</v>
      </c>
      <c r="S13" s="19" t="s">
        <v>27</v>
      </c>
      <c r="T13" s="19" t="s">
        <v>28</v>
      </c>
      <c r="U13" s="17"/>
      <c r="V13" t="str">
        <f t="shared" si="5"/>
        <v>&lt;TR&gt;&lt;TD&gt;7&lt;/TD&gt;&lt;TD&gt; &lt;a href="#Day-7"&gt;Fri 8/20&lt;/a&gt;&lt;/TD&gt;&lt;TD&gt;Shilshole Bay Marina&lt;/TD&gt;&lt;TD&gt;Jarrell's Cove Mooring&lt;/TD&gt;&lt;TD&gt;8:02&lt;/TD&gt;&lt;TD&gt;15:00&lt;/TD&gt;&lt;TD&gt;6:58&lt;/TD&gt;&lt;TD&gt;48&lt;/TD&gt;&lt;TD&gt;46.18&lt;/TD&gt;&lt;TD&gt;6.6&lt;/TD&gt;&lt;TD&gt;285.3&lt;/TD&gt;&lt;TD&gt;7.3&lt;/TD&gt;&lt;/TR&gt;</v>
      </c>
    </row>
    <row r="14" spans="1:22" ht="12.75" customHeight="1">
      <c r="A14" s="3">
        <v>8</v>
      </c>
      <c r="B14" s="142" t="s">
        <v>168</v>
      </c>
      <c r="C14" s="49" t="s">
        <v>135</v>
      </c>
      <c r="D14" s="49" t="s">
        <v>286</v>
      </c>
      <c r="E14" s="5">
        <v>0.33888888888888885</v>
      </c>
      <c r="F14" s="5">
        <v>0.4284722222222222</v>
      </c>
      <c r="G14" s="5">
        <f t="shared" si="0"/>
        <v>8.9583333333333348E-2</v>
      </c>
      <c r="H14" s="3">
        <v>8</v>
      </c>
      <c r="I14" s="3">
        <v>17.2</v>
      </c>
      <c r="J14" s="6">
        <f t="shared" si="1"/>
        <v>8</v>
      </c>
      <c r="K14" s="6">
        <v>287.7</v>
      </c>
      <c r="L14" s="6">
        <f t="shared" si="2"/>
        <v>2.4</v>
      </c>
      <c r="M14" s="13">
        <f t="shared" si="3"/>
        <v>8.9583333333333348E-2</v>
      </c>
      <c r="O14" t="str">
        <f t="shared" si="4"/>
        <v>8:08</v>
      </c>
      <c r="P14" t="str">
        <f t="shared" si="4"/>
        <v>10:17</v>
      </c>
      <c r="Q14" t="str">
        <f t="shared" si="4"/>
        <v>2:09</v>
      </c>
      <c r="R14" t="s">
        <v>26</v>
      </c>
      <c r="S14" s="19" t="s">
        <v>27</v>
      </c>
      <c r="T14" s="19" t="s">
        <v>28</v>
      </c>
      <c r="U14" s="17"/>
      <c r="V14" t="str">
        <f t="shared" si="5"/>
        <v>&lt;TR&gt;&lt;TD&gt;8&lt;/TD&gt;&lt;TD&gt; &lt;a href="#Day-8"&gt;Sat 8/21&lt;/a&gt;&lt;/TD&gt;&lt;TD&gt;Jarrell's Cove Marina&lt;/TD&gt;&lt;TD&gt;Olympia Percival Landing&lt;/TD&gt;&lt;TD&gt;8:08&lt;/TD&gt;&lt;TD&gt;10:17&lt;/TD&gt;&lt;TD&gt;2:09&lt;/TD&gt;&lt;TD&gt;8&lt;/TD&gt;&lt;TD&gt;17.2&lt;/TD&gt;&lt;TD&gt;8&lt;/TD&gt;&lt;TD&gt;287.7&lt;/TD&gt;&lt;TD&gt;2.4&lt;/TD&gt;&lt;/TR&gt;</v>
      </c>
    </row>
    <row r="15" spans="1:22" ht="12.75" customHeight="1">
      <c r="A15" s="3" t="s">
        <v>285</v>
      </c>
      <c r="B15" s="142" t="s">
        <v>168</v>
      </c>
      <c r="C15" s="49" t="s">
        <v>286</v>
      </c>
      <c r="D15" s="49" t="s">
        <v>287</v>
      </c>
      <c r="E15" s="5">
        <v>0.57638888888888895</v>
      </c>
      <c r="F15" s="5">
        <v>0.6430555555555556</v>
      </c>
      <c r="G15" s="5">
        <f t="shared" si="0"/>
        <v>6.6666666666666652E-2</v>
      </c>
      <c r="H15" s="3">
        <v>0</v>
      </c>
      <c r="I15" s="3">
        <v>12.5</v>
      </c>
      <c r="J15" s="6">
        <f t="shared" si="1"/>
        <v>7.8</v>
      </c>
      <c r="K15" s="6">
        <v>289.7</v>
      </c>
      <c r="L15" s="6">
        <f t="shared" si="2"/>
        <v>2</v>
      </c>
      <c r="M15" s="13">
        <f t="shared" ref="M15" si="6">G15</f>
        <v>6.6666666666666652E-2</v>
      </c>
      <c r="O15" t="str">
        <f t="shared" ref="O15" si="7">IF($F15&gt;0,HOUR(E15)&amp;":"&amp;IF(MINUTE(E15)&lt;10,"0"&amp;MINUTE(E15),MINUTE(E15)),"-")</f>
        <v>13:50</v>
      </c>
      <c r="P15" t="str">
        <f t="shared" ref="P15" si="8">IF($F15&gt;0,HOUR(F15)&amp;":"&amp;IF(MINUTE(F15)&lt;10,"0"&amp;MINUTE(F15),MINUTE(F15)),"-")</f>
        <v>15:26</v>
      </c>
      <c r="Q15" t="str">
        <f t="shared" ref="Q15" si="9">IF($F15&gt;0,HOUR(G15)&amp;":"&amp;IF(MINUTE(G15)&lt;10,"0"&amp;MINUTE(G15),MINUTE(G15)),"-")</f>
        <v>1:36</v>
      </c>
      <c r="R15" t="s">
        <v>26</v>
      </c>
      <c r="S15" s="19" t="s">
        <v>27</v>
      </c>
      <c r="T15" s="19" t="s">
        <v>28</v>
      </c>
      <c r="U15" s="17"/>
      <c r="V15" t="str">
        <f t="shared" ref="V15" si="10">"&lt;TR&gt;&lt;TD&gt;"&amp;A15&amp;"&lt;/TD&gt;&lt;TD&gt;"&amp;R15&amp;A15&amp;S15&amp;B15&amp;T15&amp;"&lt;/TD&gt;&lt;TD&gt;"&amp;C15&amp;"&lt;/TD&gt;&lt;TD&gt;"&amp;D15&amp;"&lt;/TD&gt;&lt;TD&gt;"&amp;O15&amp;"&lt;/TD&gt;&lt;TD&gt;"&amp;P15&amp;"&lt;/TD&gt;&lt;TD&gt;"&amp;Q15&amp;"&lt;/TD&gt;&lt;TD&gt;"&amp;H15&amp;"&lt;/TD&gt;&lt;TD&gt;"&amp;I15&amp;"&lt;/TD&gt;&lt;TD&gt;"&amp;J15&amp;"&lt;/TD&gt;&lt;TD&gt;"&amp;K15&amp;"&lt;/TD&gt;&lt;TD&gt;"&amp;L15&amp;"&lt;/TD&gt;&lt;/TR&gt;"</f>
        <v>&lt;TR&gt;&lt;TD&gt;8a&lt;/TD&gt;&lt;TD&gt; &lt;a href="#Day-8a"&gt;Sat 8/21&lt;/a&gt;&lt;/TD&gt;&lt;TD&gt;Olympia Percival Landing&lt;/TD&gt;&lt;TD&gt;Gallagher Cove/ Totten Inlet&lt;/TD&gt;&lt;TD&gt;13:50&lt;/TD&gt;&lt;TD&gt;15:26&lt;/TD&gt;&lt;TD&gt;1:36&lt;/TD&gt;&lt;TD&gt;0&lt;/TD&gt;&lt;TD&gt;12.5&lt;/TD&gt;&lt;TD&gt;7.8&lt;/TD&gt;&lt;TD&gt;289.7&lt;/TD&gt;&lt;TD&gt;2&lt;/TD&gt;&lt;/TR&gt;</v>
      </c>
    </row>
    <row r="16" spans="1:22" ht="12.75" customHeight="1">
      <c r="A16" s="3">
        <v>9</v>
      </c>
      <c r="B16" s="142" t="s">
        <v>169</v>
      </c>
      <c r="C16" s="49" t="s">
        <v>287</v>
      </c>
      <c r="D16" s="49" t="s">
        <v>288</v>
      </c>
      <c r="E16" s="5">
        <v>0.34652777777777777</v>
      </c>
      <c r="F16" s="5">
        <v>0.48958333333333331</v>
      </c>
      <c r="G16" s="5">
        <f t="shared" si="0"/>
        <v>0.14305555555555555</v>
      </c>
      <c r="H16" s="3">
        <v>28</v>
      </c>
      <c r="I16" s="3">
        <f>9.9+0.1+9.7+10.5+0.3</f>
        <v>30.5</v>
      </c>
      <c r="J16" s="6">
        <f t="shared" si="1"/>
        <v>8.9</v>
      </c>
      <c r="K16" s="6">
        <v>0</v>
      </c>
      <c r="L16" s="6">
        <f t="shared" si="2"/>
        <v>0</v>
      </c>
      <c r="M16" s="13">
        <f t="shared" si="3"/>
        <v>0.14305555555555555</v>
      </c>
      <c r="O16" t="str">
        <f t="shared" si="4"/>
        <v>8:19</v>
      </c>
      <c r="P16" t="str">
        <f t="shared" si="4"/>
        <v>11:45</v>
      </c>
      <c r="Q16" t="str">
        <f t="shared" si="4"/>
        <v>3:26</v>
      </c>
      <c r="R16" t="s">
        <v>26</v>
      </c>
      <c r="S16" s="19" t="s">
        <v>27</v>
      </c>
      <c r="T16" s="19" t="s">
        <v>28</v>
      </c>
      <c r="U16" s="17"/>
      <c r="V16" t="str">
        <f t="shared" si="5"/>
        <v>&lt;TR&gt;&lt;TD&gt;9&lt;/TD&gt;&lt;TD&gt; &lt;a href="#Day-9"&gt;Sun 8/22&lt;/a&gt;&lt;/TD&gt;&lt;TD&gt;Gallagher Cove/ Totten Inlet&lt;/TD&gt;&lt;TD&gt;Quartermastr Harbor&lt;/TD&gt;&lt;TD&gt;8:19&lt;/TD&gt;&lt;TD&gt;11:45&lt;/TD&gt;&lt;TD&gt;3:26&lt;/TD&gt;&lt;TD&gt;28&lt;/TD&gt;&lt;TD&gt;30.5&lt;/TD&gt;&lt;TD&gt;8.9&lt;/TD&gt;&lt;TD&gt;0&lt;/TD&gt;&lt;TD&gt;0&lt;/TD&gt;&lt;/TR&gt;</v>
      </c>
    </row>
    <row r="17" spans="1:22" ht="12.75" customHeight="1">
      <c r="A17" s="3" t="s">
        <v>289</v>
      </c>
      <c r="B17" s="142" t="s">
        <v>169</v>
      </c>
      <c r="C17" s="49" t="s">
        <v>287</v>
      </c>
      <c r="D17" s="15" t="s">
        <v>136</v>
      </c>
      <c r="E17" s="5">
        <v>0.53472222222222221</v>
      </c>
      <c r="F17" s="5">
        <v>0.56666666666666665</v>
      </c>
      <c r="G17" s="5">
        <f t="shared" ref="G17" si="11">IF(F17&gt;0,F17-E17,"-")</f>
        <v>3.1944444444444442E-2</v>
      </c>
      <c r="H17" s="3">
        <v>0</v>
      </c>
      <c r="I17" s="3">
        <v>5.3</v>
      </c>
      <c r="J17" s="6">
        <f t="shared" ref="J17" si="12">IF(F17&gt;0,ROUND(I17/(HOUR(G17)+(MINUTE(G17)/60)),1),"-")</f>
        <v>6.9</v>
      </c>
      <c r="K17" s="6">
        <v>294.5</v>
      </c>
      <c r="L17" s="6">
        <f>IF(K17&gt;0,ROUND(K17-K15,1),0)</f>
        <v>4.8</v>
      </c>
      <c r="M17" s="13">
        <f t="shared" ref="M17" si="13">G17</f>
        <v>3.1944444444444442E-2</v>
      </c>
      <c r="O17" t="str">
        <f t="shared" ref="O17" si="14">IF($F17&gt;0,HOUR(E17)&amp;":"&amp;IF(MINUTE(E17)&lt;10,"0"&amp;MINUTE(E17),MINUTE(E17)),"-")</f>
        <v>12:50</v>
      </c>
      <c r="P17" t="str">
        <f t="shared" ref="P17" si="15">IF($F17&gt;0,HOUR(F17)&amp;":"&amp;IF(MINUTE(F17)&lt;10,"0"&amp;MINUTE(F17),MINUTE(F17)),"-")</f>
        <v>13:36</v>
      </c>
      <c r="Q17" t="str">
        <f t="shared" ref="Q17" si="16">IF($F17&gt;0,HOUR(G17)&amp;":"&amp;IF(MINUTE(G17)&lt;10,"0"&amp;MINUTE(G17),MINUTE(G17)),"-")</f>
        <v>0:46</v>
      </c>
      <c r="R17" t="s">
        <v>26</v>
      </c>
      <c r="S17" s="19" t="s">
        <v>27</v>
      </c>
      <c r="T17" s="19" t="s">
        <v>28</v>
      </c>
      <c r="U17" s="17"/>
      <c r="V17" t="str">
        <f t="shared" ref="V17" si="17">"&lt;TR&gt;&lt;TD&gt;"&amp;A17&amp;"&lt;/TD&gt;&lt;TD&gt;"&amp;R17&amp;A17&amp;S17&amp;B17&amp;T17&amp;"&lt;/TD&gt;&lt;TD&gt;"&amp;C17&amp;"&lt;/TD&gt;&lt;TD&gt;"&amp;D17&amp;"&lt;/TD&gt;&lt;TD&gt;"&amp;O17&amp;"&lt;/TD&gt;&lt;TD&gt;"&amp;P17&amp;"&lt;/TD&gt;&lt;TD&gt;"&amp;Q17&amp;"&lt;/TD&gt;&lt;TD&gt;"&amp;H17&amp;"&lt;/TD&gt;&lt;TD&gt;"&amp;I17&amp;"&lt;/TD&gt;&lt;TD&gt;"&amp;J17&amp;"&lt;/TD&gt;&lt;TD&gt;"&amp;K17&amp;"&lt;/TD&gt;&lt;TD&gt;"&amp;L17&amp;"&lt;/TD&gt;&lt;/TR&gt;"</f>
        <v>&lt;TR&gt;&lt;TD&gt;9a&lt;/TD&gt;&lt;TD&gt; &lt;a href="#Day-9a"&gt;Sun 8/22&lt;/a&gt;&lt;/TD&gt;&lt;TD&gt;Gallagher Cove/ Totten Inlet&lt;/TD&gt;&lt;TD&gt;Gig Harbor Arabella's Lnd.&lt;/TD&gt;&lt;TD&gt;12:50&lt;/TD&gt;&lt;TD&gt;13:36&lt;/TD&gt;&lt;TD&gt;0:46&lt;/TD&gt;&lt;TD&gt;0&lt;/TD&gt;&lt;TD&gt;5.3&lt;/TD&gt;&lt;TD&gt;6.9&lt;/TD&gt;&lt;TD&gt;294.5&lt;/TD&gt;&lt;TD&gt;4.8&lt;/TD&gt;&lt;/TR&gt;</v>
      </c>
    </row>
    <row r="18" spans="1:22" ht="13.5" customHeight="1">
      <c r="A18" s="3">
        <v>10</v>
      </c>
      <c r="B18" s="142" t="s">
        <v>170</v>
      </c>
      <c r="C18" s="15" t="s">
        <v>136</v>
      </c>
      <c r="D18" s="15" t="s">
        <v>422</v>
      </c>
      <c r="E18" s="5">
        <v>0.32222222222222224</v>
      </c>
      <c r="F18" s="5">
        <v>0.45624999999999999</v>
      </c>
      <c r="G18" s="5">
        <f t="shared" si="0"/>
        <v>0.13402777777777775</v>
      </c>
      <c r="H18" s="3">
        <v>29</v>
      </c>
      <c r="I18" s="3">
        <v>26.4</v>
      </c>
      <c r="J18" s="6">
        <f t="shared" si="1"/>
        <v>8.1999999999999993</v>
      </c>
      <c r="K18" s="6">
        <v>0</v>
      </c>
      <c r="L18" s="6">
        <f t="shared" si="2"/>
        <v>0</v>
      </c>
      <c r="M18" s="13">
        <f t="shared" si="3"/>
        <v>0.13402777777777775</v>
      </c>
      <c r="O18" t="str">
        <f t="shared" si="4"/>
        <v>7:44</v>
      </c>
      <c r="P18" t="str">
        <f t="shared" si="4"/>
        <v>10:57</v>
      </c>
      <c r="Q18" t="str">
        <f t="shared" si="4"/>
        <v>3:13</v>
      </c>
      <c r="R18" t="s">
        <v>26</v>
      </c>
      <c r="S18" s="19" t="s">
        <v>27</v>
      </c>
      <c r="T18" s="19" t="s">
        <v>28</v>
      </c>
      <c r="U18" s="17"/>
      <c r="V18" t="str">
        <f t="shared" si="5"/>
        <v>&lt;TR&gt;&lt;TD&gt;10&lt;/TD&gt;&lt;TD&gt; &lt;a href="#Day-10"&gt;Mon 8/23&lt;/a&gt;&lt;/TD&gt;&lt;TD&gt;Gig Harbor Arabella's Lnd.&lt;/TD&gt;&lt;TD&gt;Keyport Guest Dock&lt;/TD&gt;&lt;TD&gt;7:44&lt;/TD&gt;&lt;TD&gt;10:57&lt;/TD&gt;&lt;TD&gt;3:13&lt;/TD&gt;&lt;TD&gt;29&lt;/TD&gt;&lt;TD&gt;26.4&lt;/TD&gt;&lt;TD&gt;8.2&lt;/TD&gt;&lt;TD&gt;0&lt;/TD&gt;&lt;TD&gt;0&lt;/TD&gt;&lt;/TR&gt;</v>
      </c>
    </row>
    <row r="19" spans="1:22" ht="13.5" customHeight="1">
      <c r="A19" s="3" t="s">
        <v>421</v>
      </c>
      <c r="B19" s="142" t="s">
        <v>170</v>
      </c>
      <c r="C19" s="15" t="s">
        <v>423</v>
      </c>
      <c r="D19" s="15" t="s">
        <v>137</v>
      </c>
      <c r="E19" s="5">
        <v>0.56805555555555554</v>
      </c>
      <c r="F19" s="5">
        <v>0.58402777777777781</v>
      </c>
      <c r="G19" s="5">
        <f t="shared" ref="G19" si="18">IF(F19&gt;0,F19-E19,"-")</f>
        <v>1.5972222222222276E-2</v>
      </c>
      <c r="H19" s="3">
        <v>0</v>
      </c>
      <c r="I19" s="3">
        <v>2</v>
      </c>
      <c r="J19" s="6">
        <f t="shared" ref="J19" si="19">IF(F19&gt;0,ROUND(I19/(HOUR(G19)+(MINUTE(G19)/60)),1),"-")</f>
        <v>5.2</v>
      </c>
      <c r="K19" s="6">
        <v>298.3</v>
      </c>
      <c r="L19" s="6">
        <f>IF(K19&gt;0,ROUND(K19-K17,1),0)</f>
        <v>3.8</v>
      </c>
      <c r="M19" s="13">
        <f t="shared" ref="M19" si="20">G19</f>
        <v>1.5972222222222276E-2</v>
      </c>
      <c r="O19" t="str">
        <f t="shared" ref="O19" si="21">IF($F19&gt;0,HOUR(E19)&amp;":"&amp;IF(MINUTE(E19)&lt;10,"0"&amp;MINUTE(E19),MINUTE(E19)),"-")</f>
        <v>13:38</v>
      </c>
      <c r="P19" t="str">
        <f t="shared" ref="P19" si="22">IF($F19&gt;0,HOUR(F19)&amp;":"&amp;IF(MINUTE(F19)&lt;10,"0"&amp;MINUTE(F19),MINUTE(F19)),"-")</f>
        <v>14:01</v>
      </c>
      <c r="Q19" t="str">
        <f t="shared" ref="Q19" si="23">IF($F19&gt;0,HOUR(G19)&amp;":"&amp;IF(MINUTE(G19)&lt;10,"0"&amp;MINUTE(G19),MINUTE(G19)),"-")</f>
        <v>0:23</v>
      </c>
      <c r="R19" t="s">
        <v>26</v>
      </c>
      <c r="S19" s="19" t="s">
        <v>27</v>
      </c>
      <c r="T19" s="19" t="s">
        <v>28</v>
      </c>
      <c r="U19" s="17"/>
      <c r="V19" t="str">
        <f t="shared" ref="V19" si="24">"&lt;TR&gt;&lt;TD&gt;"&amp;A19&amp;"&lt;/TD&gt;&lt;TD&gt;"&amp;R19&amp;A19&amp;S19&amp;B19&amp;T19&amp;"&lt;/TD&gt;&lt;TD&gt;"&amp;C19&amp;"&lt;/TD&gt;&lt;TD&gt;"&amp;D19&amp;"&lt;/TD&gt;&lt;TD&gt;"&amp;O19&amp;"&lt;/TD&gt;&lt;TD&gt;"&amp;P19&amp;"&lt;/TD&gt;&lt;TD&gt;"&amp;Q19&amp;"&lt;/TD&gt;&lt;TD&gt;"&amp;H19&amp;"&lt;/TD&gt;&lt;TD&gt;"&amp;I19&amp;"&lt;/TD&gt;&lt;TD&gt;"&amp;J19&amp;"&lt;/TD&gt;&lt;TD&gt;"&amp;K19&amp;"&lt;/TD&gt;&lt;TD&gt;"&amp;L19&amp;"&lt;/TD&gt;&lt;/TR&gt;"</f>
        <v>&lt;TR&gt;&lt;TD&gt;10a&lt;/TD&gt;&lt;TD&gt; &lt;a href="#Day-10a"&gt;Mon 8/23&lt;/a&gt;&lt;/TD&gt;&lt;TD&gt;Keyport Gues Dock&lt;/TD&gt;&lt;TD&gt;Poulsbo Marina&lt;/TD&gt;&lt;TD&gt;13:38&lt;/TD&gt;&lt;TD&gt;14:01&lt;/TD&gt;&lt;TD&gt;0:23&lt;/TD&gt;&lt;TD&gt;0&lt;/TD&gt;&lt;TD&gt;2&lt;/TD&gt;&lt;TD&gt;5.2&lt;/TD&gt;&lt;TD&gt;298.3&lt;/TD&gt;&lt;TD&gt;3.8&lt;/TD&gt;&lt;/TR&gt;</v>
      </c>
    </row>
    <row r="20" spans="1:22" ht="12.75" customHeight="1">
      <c r="A20" s="3">
        <v>11</v>
      </c>
      <c r="B20" s="142" t="s">
        <v>171</v>
      </c>
      <c r="C20" s="15" t="s">
        <v>137</v>
      </c>
      <c r="D20" s="15" t="s">
        <v>138</v>
      </c>
      <c r="E20" s="5">
        <v>0.30277777777777776</v>
      </c>
      <c r="F20" s="5">
        <v>0.55208333333333337</v>
      </c>
      <c r="G20" s="5">
        <f t="shared" si="0"/>
        <v>0.24930555555555561</v>
      </c>
      <c r="H20" s="3">
        <v>48</v>
      </c>
      <c r="I20" s="3">
        <v>48.6</v>
      </c>
      <c r="J20" s="6">
        <f t="shared" si="1"/>
        <v>8.1</v>
      </c>
      <c r="K20" s="6">
        <v>304.60000000000002</v>
      </c>
      <c r="L20" s="6">
        <f t="shared" si="2"/>
        <v>6.3</v>
      </c>
      <c r="M20" s="13">
        <f t="shared" si="3"/>
        <v>0.24930555555555561</v>
      </c>
      <c r="O20" t="str">
        <f t="shared" si="4"/>
        <v>7:16</v>
      </c>
      <c r="P20" t="str">
        <f t="shared" si="4"/>
        <v>13:15</v>
      </c>
      <c r="Q20" t="str">
        <f t="shared" si="4"/>
        <v>5:59</v>
      </c>
      <c r="R20" t="s">
        <v>26</v>
      </c>
      <c r="S20" s="19" t="s">
        <v>27</v>
      </c>
      <c r="T20" s="19" t="s">
        <v>28</v>
      </c>
      <c r="U20" s="17"/>
      <c r="V20" t="str">
        <f t="shared" si="5"/>
        <v>&lt;TR&gt;&lt;TD&gt;11&lt;/TD&gt;&lt;TD&gt; &lt;a href="#Day-11"&gt;Tue 8/24&lt;/a&gt;&lt;/TD&gt;&lt;TD&gt;Poulsbo Marina&lt;/TD&gt;&lt;TD&gt;Oak Harbor Marina&lt;/TD&gt;&lt;TD&gt;7:16&lt;/TD&gt;&lt;TD&gt;13:15&lt;/TD&gt;&lt;TD&gt;5:59&lt;/TD&gt;&lt;TD&gt;48&lt;/TD&gt;&lt;TD&gt;48.6&lt;/TD&gt;&lt;TD&gt;8.1&lt;/TD&gt;&lt;TD&gt;304.6&lt;/TD&gt;&lt;TD&gt;6.3&lt;/TD&gt;&lt;/TR&gt;</v>
      </c>
    </row>
    <row r="21" spans="1:22" ht="12.75" customHeight="1">
      <c r="A21" s="3">
        <v>12</v>
      </c>
      <c r="B21" s="142" t="s">
        <v>172</v>
      </c>
      <c r="C21" s="15" t="s">
        <v>138</v>
      </c>
      <c r="D21" s="15" t="s">
        <v>648</v>
      </c>
      <c r="E21" s="5">
        <v>0.27708333333333335</v>
      </c>
      <c r="F21" s="5">
        <v>0.45416666666666666</v>
      </c>
      <c r="G21" s="5">
        <f t="shared" si="0"/>
        <v>0.17708333333333331</v>
      </c>
      <c r="H21" s="3">
        <v>29</v>
      </c>
      <c r="I21" s="3">
        <v>38.1</v>
      </c>
      <c r="J21" s="6">
        <f t="shared" si="1"/>
        <v>9</v>
      </c>
      <c r="K21" s="6">
        <v>309.39999999999998</v>
      </c>
      <c r="L21" s="6">
        <f t="shared" si="2"/>
        <v>4.8</v>
      </c>
      <c r="M21" s="13">
        <f t="shared" si="3"/>
        <v>0.17708333333333331</v>
      </c>
      <c r="O21" t="str">
        <f t="shared" si="4"/>
        <v>6:39</v>
      </c>
      <c r="P21" t="str">
        <f t="shared" si="4"/>
        <v>10:54</v>
      </c>
      <c r="Q21" t="str">
        <f t="shared" si="4"/>
        <v>4:15</v>
      </c>
      <c r="R21" t="s">
        <v>26</v>
      </c>
      <c r="S21" s="19" t="s">
        <v>27</v>
      </c>
      <c r="T21" s="19" t="s">
        <v>28</v>
      </c>
      <c r="U21" s="17"/>
      <c r="V21" t="str">
        <f t="shared" si="5"/>
        <v>&lt;TR&gt;&lt;TD&gt;12&lt;/TD&gt;&lt;TD&gt; &lt;a href="#Day-12"&gt;Wed 8/25&lt;/a&gt;&lt;/TD&gt;&lt;TD&gt;Oak Harbor Marina&lt;/TD&gt;&lt;TD&gt;Lopez Sound (at anchor)&lt;/TD&gt;&lt;TD&gt;6:39&lt;/TD&gt;&lt;TD&gt;10:54&lt;/TD&gt;&lt;TD&gt;4:15&lt;/TD&gt;&lt;TD&gt;29&lt;/TD&gt;&lt;TD&gt;38.1&lt;/TD&gt;&lt;TD&gt;9&lt;/TD&gt;&lt;TD&gt;309.4&lt;/TD&gt;&lt;TD&gt;4.8&lt;/TD&gt;&lt;/TR&gt;</v>
      </c>
    </row>
    <row r="22" spans="1:22" ht="12.75" customHeight="1">
      <c r="A22" s="3">
        <v>13</v>
      </c>
      <c r="B22" s="142" t="s">
        <v>173</v>
      </c>
      <c r="C22" s="15" t="s">
        <v>648</v>
      </c>
      <c r="D22" s="15" t="s">
        <v>140</v>
      </c>
      <c r="E22" s="5">
        <v>0.3666666666666667</v>
      </c>
      <c r="F22" s="5">
        <v>0.50347222222222221</v>
      </c>
      <c r="G22" s="5">
        <f t="shared" si="0"/>
        <v>0.13680555555555551</v>
      </c>
      <c r="H22" s="3">
        <v>24</v>
      </c>
      <c r="I22" s="3">
        <v>22.7</v>
      </c>
      <c r="J22" s="6">
        <f t="shared" si="1"/>
        <v>6.9</v>
      </c>
      <c r="K22" s="6">
        <v>312.8</v>
      </c>
      <c r="L22" s="6">
        <f t="shared" si="2"/>
        <v>3.4</v>
      </c>
      <c r="M22" s="13">
        <f t="shared" si="3"/>
        <v>0.13680555555555551</v>
      </c>
      <c r="O22" t="str">
        <f t="shared" si="4"/>
        <v>8:48</v>
      </c>
      <c r="P22" t="str">
        <f t="shared" si="4"/>
        <v>12:05</v>
      </c>
      <c r="Q22" t="str">
        <f t="shared" si="4"/>
        <v>3:17</v>
      </c>
      <c r="R22" t="s">
        <v>26</v>
      </c>
      <c r="S22" s="19" t="s">
        <v>27</v>
      </c>
      <c r="T22" s="19" t="s">
        <v>28</v>
      </c>
      <c r="U22" s="17"/>
      <c r="V22" t="str">
        <f t="shared" si="5"/>
        <v>&lt;TR&gt;&lt;TD&gt;13&lt;/TD&gt;&lt;TD&gt; &lt;a href="#Day-13"&gt;Thu 8/26&lt;/a&gt;&lt;/TD&gt;&lt;TD&gt;Lopez Sound (at anchor)&lt;/TD&gt;&lt;TD&gt;Reid Hbr/ Sturt I (at anchor)&lt;/TD&gt;&lt;TD&gt;8:48&lt;/TD&gt;&lt;TD&gt;12:05&lt;/TD&gt;&lt;TD&gt;3:17&lt;/TD&gt;&lt;TD&gt;24&lt;/TD&gt;&lt;TD&gt;22.7&lt;/TD&gt;&lt;TD&gt;6.9&lt;/TD&gt;&lt;TD&gt;312.8&lt;/TD&gt;&lt;TD&gt;3.4&lt;/TD&gt;&lt;/TR&gt;</v>
      </c>
    </row>
    <row r="23" spans="1:22" ht="13.5" customHeight="1">
      <c r="A23" s="3">
        <v>14</v>
      </c>
      <c r="B23" s="142" t="s">
        <v>174</v>
      </c>
      <c r="C23" s="15" t="s">
        <v>140</v>
      </c>
      <c r="D23" s="15" t="s">
        <v>141</v>
      </c>
      <c r="E23" s="5">
        <v>0.33333333333333331</v>
      </c>
      <c r="F23" s="5">
        <v>0.49027777777777781</v>
      </c>
      <c r="G23" s="5">
        <f t="shared" si="0"/>
        <v>0.1569444444444445</v>
      </c>
      <c r="H23" s="3">
        <v>16</v>
      </c>
      <c r="I23" s="3">
        <v>26.1</v>
      </c>
      <c r="J23" s="6">
        <f t="shared" si="1"/>
        <v>6.9</v>
      </c>
      <c r="K23" s="6">
        <v>316.39999999999998</v>
      </c>
      <c r="L23" s="6">
        <f t="shared" si="2"/>
        <v>3.6</v>
      </c>
      <c r="M23" s="13">
        <f t="shared" si="3"/>
        <v>0.1569444444444445</v>
      </c>
      <c r="O23" t="str">
        <f t="shared" si="4"/>
        <v>8:00</v>
      </c>
      <c r="P23" t="str">
        <f t="shared" si="4"/>
        <v>11:46</v>
      </c>
      <c r="Q23" t="str">
        <f t="shared" si="4"/>
        <v>3:46</v>
      </c>
      <c r="R23" t="s">
        <v>26</v>
      </c>
      <c r="S23" s="19" t="s">
        <v>27</v>
      </c>
      <c r="T23" s="19" t="s">
        <v>28</v>
      </c>
      <c r="U23" s="17"/>
      <c r="V23" t="str">
        <f t="shared" si="5"/>
        <v>&lt;TR&gt;&lt;TD&gt;14&lt;/TD&gt;&lt;TD&gt; &lt;a href="#Day-14"&gt;Fri 8/27&lt;/a&gt;&lt;/TD&gt;&lt;TD&gt;Reid Hbr/ Sturt I (at anchor)&lt;/TD&gt;&lt;TD&gt;Sucia Island (at anchor)&lt;/TD&gt;&lt;TD&gt;8:00&lt;/TD&gt;&lt;TD&gt;11:46&lt;/TD&gt;&lt;TD&gt;3:46&lt;/TD&gt;&lt;TD&gt;16&lt;/TD&gt;&lt;TD&gt;26.1&lt;/TD&gt;&lt;TD&gt;6.9&lt;/TD&gt;&lt;TD&gt;316.4&lt;/TD&gt;&lt;TD&gt;3.6&lt;/TD&gt;&lt;/TR&gt;</v>
      </c>
    </row>
    <row r="24" spans="1:22" ht="13.5" customHeight="1">
      <c r="A24" s="3">
        <v>15</v>
      </c>
      <c r="B24" s="142" t="s">
        <v>175</v>
      </c>
      <c r="C24" s="15" t="s">
        <v>141</v>
      </c>
      <c r="D24" s="15" t="s">
        <v>704</v>
      </c>
      <c r="E24" s="5">
        <v>0.3666666666666667</v>
      </c>
      <c r="F24" s="5">
        <v>0.47361111111111115</v>
      </c>
      <c r="G24" s="5">
        <f t="shared" si="0"/>
        <v>0.10694444444444445</v>
      </c>
      <c r="H24" s="3">
        <v>35</v>
      </c>
      <c r="I24" s="3">
        <v>21.2</v>
      </c>
      <c r="J24" s="6">
        <f t="shared" si="1"/>
        <v>8.3000000000000007</v>
      </c>
      <c r="K24" s="6">
        <v>319.39999999999998</v>
      </c>
      <c r="L24" s="6">
        <f t="shared" si="2"/>
        <v>3</v>
      </c>
      <c r="M24" s="13">
        <f t="shared" si="3"/>
        <v>0.10694444444444445</v>
      </c>
      <c r="O24" t="str">
        <f t="shared" si="4"/>
        <v>8:48</v>
      </c>
      <c r="P24" t="str">
        <f t="shared" si="4"/>
        <v>11:22</v>
      </c>
      <c r="Q24" t="str">
        <f t="shared" si="4"/>
        <v>2:34</v>
      </c>
      <c r="R24" t="s">
        <v>26</v>
      </c>
      <c r="S24" s="19" t="s">
        <v>27</v>
      </c>
      <c r="T24" s="19" t="s">
        <v>28</v>
      </c>
      <c r="U24" s="17"/>
      <c r="V24" t="str">
        <f t="shared" si="5"/>
        <v>&lt;TR&gt;&lt;TD&gt;15&lt;/TD&gt;&lt;TD&gt; &lt;a href="#Day-15"&gt;Sat 8/28&lt;/a&gt;&lt;/TD&gt;&lt;TD&gt;Sucia Island (at anchor)&lt;/TD&gt;&lt;TD&gt;Blind Bay - Lunch&lt;/TD&gt;&lt;TD&gt;8:48&lt;/TD&gt;&lt;TD&gt;11:22&lt;/TD&gt;&lt;TD&gt;2:34&lt;/TD&gt;&lt;TD&gt;35&lt;/TD&gt;&lt;TD&gt;21.2&lt;/TD&gt;&lt;TD&gt;8.3&lt;/TD&gt;&lt;TD&gt;319.4&lt;/TD&gt;&lt;TD&gt;3&lt;/TD&gt;&lt;/TR&gt;</v>
      </c>
    </row>
    <row r="25" spans="1:22" ht="13.5" customHeight="1">
      <c r="A25" s="3" t="s">
        <v>703</v>
      </c>
      <c r="B25" s="142" t="s">
        <v>175</v>
      </c>
      <c r="C25" s="15" t="s">
        <v>704</v>
      </c>
      <c r="D25" s="15" t="s">
        <v>705</v>
      </c>
      <c r="E25" s="5">
        <v>0.59166666666666667</v>
      </c>
      <c r="F25" s="5">
        <v>0.64930555555555558</v>
      </c>
      <c r="G25" s="5">
        <f t="shared" ref="G25" si="25">IF(F25&gt;0,F25-E25,"-")</f>
        <v>5.7638888888888906E-2</v>
      </c>
      <c r="H25" s="3">
        <v>0</v>
      </c>
      <c r="I25" s="3">
        <v>7.2</v>
      </c>
      <c r="J25" s="6">
        <f t="shared" ref="J25" si="26">IF(F25&gt;0,ROUND(I25/(HOUR(G25)+(MINUTE(G25)/60)),1),"-")</f>
        <v>5.2</v>
      </c>
      <c r="K25" s="6">
        <v>320.89999999999998</v>
      </c>
      <c r="L25" s="6">
        <f t="shared" ref="L25:L28" si="27">IF(K25&gt;0,ROUND(K25-K24,1),0)</f>
        <v>1.5</v>
      </c>
      <c r="M25" s="13">
        <f t="shared" ref="M25" si="28">G25</f>
        <v>5.7638888888888906E-2</v>
      </c>
      <c r="O25" t="str">
        <f t="shared" ref="O25" si="29">IF($F25&gt;0,HOUR(E25)&amp;":"&amp;IF(MINUTE(E25)&lt;10,"0"&amp;MINUTE(E25),MINUTE(E25)),"-")</f>
        <v>14:12</v>
      </c>
      <c r="P25" t="str">
        <f t="shared" ref="P25" si="30">IF($F25&gt;0,HOUR(F25)&amp;":"&amp;IF(MINUTE(F25)&lt;10,"0"&amp;MINUTE(F25),MINUTE(F25)),"-")</f>
        <v>15:35</v>
      </c>
      <c r="Q25" t="str">
        <f t="shared" ref="Q25" si="31">IF($F25&gt;0,HOUR(G25)&amp;":"&amp;IF(MINUTE(G25)&lt;10,"0"&amp;MINUTE(G25),MINUTE(G25)),"-")</f>
        <v>1:23</v>
      </c>
      <c r="R25" t="s">
        <v>26</v>
      </c>
      <c r="S25" s="19" t="s">
        <v>27</v>
      </c>
      <c r="T25" s="19" t="s">
        <v>28</v>
      </c>
      <c r="U25" s="17"/>
      <c r="V25" t="str">
        <f t="shared" ref="V25" si="32">"&lt;TR&gt;&lt;TD&gt;"&amp;A25&amp;"&lt;/TD&gt;&lt;TD&gt;"&amp;R25&amp;A25&amp;S25&amp;B25&amp;T25&amp;"&lt;/TD&gt;&lt;TD&gt;"&amp;C25&amp;"&lt;/TD&gt;&lt;TD&gt;"&amp;D25&amp;"&lt;/TD&gt;&lt;TD&gt;"&amp;O25&amp;"&lt;/TD&gt;&lt;TD&gt;"&amp;P25&amp;"&lt;/TD&gt;&lt;TD&gt;"&amp;Q25&amp;"&lt;/TD&gt;&lt;TD&gt;"&amp;H25&amp;"&lt;/TD&gt;&lt;TD&gt;"&amp;I25&amp;"&lt;/TD&gt;&lt;TD&gt;"&amp;J25&amp;"&lt;/TD&gt;&lt;TD&gt;"&amp;K25&amp;"&lt;/TD&gt;&lt;TD&gt;"&amp;L25&amp;"&lt;/TD&gt;&lt;/TR&gt;"</f>
        <v>&lt;TR&gt;&lt;TD&gt;15a&lt;/TD&gt;&lt;TD&gt; &lt;a href="#Day-15a"&gt;Sat 8/28&lt;/a&gt;&lt;/TD&gt;&lt;TD&gt;Blind Bay - Lunch&lt;/TD&gt;&lt;TD&gt;Blid Bay - after West Sound&lt;/TD&gt;&lt;TD&gt;14:12&lt;/TD&gt;&lt;TD&gt;15:35&lt;/TD&gt;&lt;TD&gt;1:23&lt;/TD&gt;&lt;TD&gt;0&lt;/TD&gt;&lt;TD&gt;7.2&lt;/TD&gt;&lt;TD&gt;5.2&lt;/TD&gt;&lt;TD&gt;320.9&lt;/TD&gt;&lt;TD&gt;1.5&lt;/TD&gt;&lt;/TR&gt;</v>
      </c>
    </row>
    <row r="26" spans="1:22" ht="13.5" customHeight="1">
      <c r="A26" s="3">
        <v>16</v>
      </c>
      <c r="B26" s="142" t="s">
        <v>176</v>
      </c>
      <c r="C26" s="15" t="s">
        <v>706</v>
      </c>
      <c r="D26" s="15" t="s">
        <v>142</v>
      </c>
      <c r="E26" s="153">
        <v>0.32916666666666666</v>
      </c>
      <c r="F26" s="5">
        <v>0.46180555555555558</v>
      </c>
      <c r="G26" s="5">
        <f t="shared" si="0"/>
        <v>0.13263888888888892</v>
      </c>
      <c r="H26" s="3">
        <v>20</v>
      </c>
      <c r="I26" s="3">
        <v>24.4</v>
      </c>
      <c r="J26" s="6">
        <f t="shared" si="1"/>
        <v>7.7</v>
      </c>
      <c r="K26" s="6">
        <v>324.60000000000002</v>
      </c>
      <c r="L26" s="6">
        <f t="shared" si="27"/>
        <v>3.7</v>
      </c>
      <c r="M26" s="13">
        <f t="shared" si="3"/>
        <v>0.13263888888888892</v>
      </c>
      <c r="O26" t="str">
        <f t="shared" si="4"/>
        <v>7:54</v>
      </c>
      <c r="P26" t="str">
        <f t="shared" si="4"/>
        <v>11:05</v>
      </c>
      <c r="Q26" t="str">
        <f t="shared" si="4"/>
        <v>3:11</v>
      </c>
      <c r="R26" t="s">
        <v>26</v>
      </c>
      <c r="S26" s="19" t="s">
        <v>27</v>
      </c>
      <c r="T26" s="19" t="s">
        <v>28</v>
      </c>
      <c r="U26" s="17"/>
      <c r="V26" t="str">
        <f t="shared" si="5"/>
        <v>&lt;TR&gt;&lt;TD&gt;16&lt;/TD&gt;&lt;TD&gt; &lt;a href="#Day-16"&gt;Sun 8/29&lt;/a&gt;&lt;/TD&gt;&lt;TD&gt;Blind Bay  &lt;/TD&gt;&lt;TD&gt;Port of Friday Harbor&lt;/TD&gt;&lt;TD&gt;7:54&lt;/TD&gt;&lt;TD&gt;11:05&lt;/TD&gt;&lt;TD&gt;3:11&lt;/TD&gt;&lt;TD&gt;20&lt;/TD&gt;&lt;TD&gt;24.4&lt;/TD&gt;&lt;TD&gt;7.7&lt;/TD&gt;&lt;TD&gt;324.6&lt;/TD&gt;&lt;TD&gt;3.7&lt;/TD&gt;&lt;/TR&gt;</v>
      </c>
    </row>
    <row r="27" spans="1:22" ht="13.5" customHeight="1">
      <c r="A27" s="3">
        <v>17</v>
      </c>
      <c r="B27" s="142" t="s">
        <v>177</v>
      </c>
      <c r="C27" s="15" t="s">
        <v>142</v>
      </c>
      <c r="D27" s="15" t="s">
        <v>90</v>
      </c>
      <c r="E27" s="5">
        <v>0.42291666666666666</v>
      </c>
      <c r="F27" s="5">
        <v>0.4826388888888889</v>
      </c>
      <c r="G27" s="5">
        <f t="shared" si="0"/>
        <v>5.9722222222222232E-2</v>
      </c>
      <c r="H27" s="3">
        <v>11</v>
      </c>
      <c r="I27" s="3">
        <v>11.2</v>
      </c>
      <c r="J27" s="6">
        <f t="shared" si="1"/>
        <v>7.8</v>
      </c>
      <c r="K27" s="6">
        <v>326.39999999999998</v>
      </c>
      <c r="L27" s="6">
        <f t="shared" si="27"/>
        <v>1.8</v>
      </c>
      <c r="M27" s="13">
        <f t="shared" si="3"/>
        <v>5.9722222222222232E-2</v>
      </c>
      <c r="O27" t="str">
        <f t="shared" ref="O27:Q34" si="33">IF($F27&gt;0,HOUR(E27)&amp;":"&amp;IF(MINUTE(E27)&lt;10,"0"&amp;MINUTE(E27),MINUTE(E27)),"-")</f>
        <v>10:09</v>
      </c>
      <c r="P27" t="str">
        <f t="shared" si="33"/>
        <v>11:35</v>
      </c>
      <c r="Q27" t="str">
        <f t="shared" si="33"/>
        <v>1:26</v>
      </c>
      <c r="R27" t="s">
        <v>26</v>
      </c>
      <c r="S27" s="19" t="s">
        <v>27</v>
      </c>
      <c r="T27" s="19" t="s">
        <v>28</v>
      </c>
      <c r="U27" s="17"/>
      <c r="V27" t="str">
        <f t="shared" si="5"/>
        <v>&lt;TR&gt;&lt;TD&gt;17&lt;/TD&gt;&lt;TD&gt; &lt;a href="#Day-17"&gt;Mon 8/30&lt;/a&gt;&lt;/TD&gt;&lt;TD&gt;Port of Friday Harbor&lt;/TD&gt;&lt;TD&gt;Roche Harbor&lt;/TD&gt;&lt;TD&gt;10:09&lt;/TD&gt;&lt;TD&gt;11:35&lt;/TD&gt;&lt;TD&gt;1:26&lt;/TD&gt;&lt;TD&gt;11&lt;/TD&gt;&lt;TD&gt;11.2&lt;/TD&gt;&lt;TD&gt;7.8&lt;/TD&gt;&lt;TD&gt;326.4&lt;/TD&gt;&lt;TD&gt;1.8&lt;/TD&gt;&lt;/TR&gt;</v>
      </c>
    </row>
    <row r="28" spans="1:22" ht="13.5" customHeight="1">
      <c r="A28" s="3">
        <v>18</v>
      </c>
      <c r="B28" s="142" t="s">
        <v>178</v>
      </c>
      <c r="C28" s="15" t="s">
        <v>90</v>
      </c>
      <c r="D28" s="15" t="s">
        <v>143</v>
      </c>
      <c r="E28" s="5">
        <v>0.3888888888888889</v>
      </c>
      <c r="F28" s="5">
        <v>0.42777777777777781</v>
      </c>
      <c r="G28" s="5">
        <f t="shared" si="0"/>
        <v>3.8888888888888917E-2</v>
      </c>
      <c r="H28" s="3">
        <v>5</v>
      </c>
      <c r="I28" s="3">
        <v>4.4000000000000004</v>
      </c>
      <c r="J28" s="6">
        <f t="shared" si="1"/>
        <v>4.7</v>
      </c>
      <c r="K28" s="6">
        <v>0</v>
      </c>
      <c r="L28" s="6">
        <f t="shared" si="27"/>
        <v>0</v>
      </c>
      <c r="M28" s="13">
        <f t="shared" si="3"/>
        <v>3.8888888888888917E-2</v>
      </c>
      <c r="O28" t="str">
        <f t="shared" si="33"/>
        <v>9:20</v>
      </c>
      <c r="P28" t="str">
        <f t="shared" si="33"/>
        <v>10:16</v>
      </c>
      <c r="Q28" t="str">
        <f t="shared" si="33"/>
        <v>0:56</v>
      </c>
      <c r="R28" t="s">
        <v>26</v>
      </c>
      <c r="S28" s="19" t="s">
        <v>27</v>
      </c>
      <c r="T28" s="19" t="s">
        <v>28</v>
      </c>
      <c r="U28" s="17"/>
      <c r="V28" t="str">
        <f t="shared" si="5"/>
        <v>&lt;TR&gt;&lt;TD&gt;18&lt;/TD&gt;&lt;TD&gt; &lt;a href="#Day-18"&gt;Tue 8/31&lt;/a&gt;&lt;/TD&gt;&lt;TD&gt;Roche Harbor&lt;/TD&gt;&lt;TD&gt;Garrison Bay (at anchor)&lt;/TD&gt;&lt;TD&gt;9:20&lt;/TD&gt;&lt;TD&gt;10:16&lt;/TD&gt;&lt;TD&gt;0:56&lt;/TD&gt;&lt;TD&gt;5&lt;/TD&gt;&lt;TD&gt;4.4&lt;/TD&gt;&lt;TD&gt;4.7&lt;/TD&gt;&lt;TD&gt;0&lt;/TD&gt;&lt;TD&gt;0&lt;/TD&gt;&lt;/TR&gt;</v>
      </c>
    </row>
    <row r="29" spans="1:22" ht="13.5" customHeight="1">
      <c r="A29" s="3" t="s">
        <v>808</v>
      </c>
      <c r="B29" s="142" t="s">
        <v>178</v>
      </c>
      <c r="C29" s="15" t="s">
        <v>143</v>
      </c>
      <c r="D29" s="49" t="s">
        <v>809</v>
      </c>
      <c r="E29" s="5">
        <v>0.52500000000000002</v>
      </c>
      <c r="F29" s="5">
        <v>0.64722222222222225</v>
      </c>
      <c r="G29" s="5">
        <f t="shared" ref="G29" si="34">IF(F29&gt;0,F29-E29,"-")</f>
        <v>0.12222222222222223</v>
      </c>
      <c r="H29" s="3">
        <v>0</v>
      </c>
      <c r="I29" s="3">
        <v>23.3</v>
      </c>
      <c r="J29" s="6">
        <f t="shared" ref="J29" si="35">IF(F29&gt;0,ROUND(I29/(HOUR(G29)+(MINUTE(G29)/60)),1),"-")</f>
        <v>7.9</v>
      </c>
      <c r="K29" s="6">
        <v>330.5</v>
      </c>
      <c r="L29" s="6">
        <f>IF(K29&gt;0,ROUND(K29-K27,1),0)</f>
        <v>4.0999999999999996</v>
      </c>
      <c r="M29" s="13">
        <f t="shared" ref="M29" si="36">G29</f>
        <v>0.12222222222222223</v>
      </c>
      <c r="O29" t="str">
        <f t="shared" ref="O29" si="37">IF($F29&gt;0,HOUR(E29)&amp;":"&amp;IF(MINUTE(E29)&lt;10,"0"&amp;MINUTE(E29),MINUTE(E29)),"-")</f>
        <v>12:36</v>
      </c>
      <c r="P29" t="str">
        <f t="shared" ref="P29" si="38">IF($F29&gt;0,HOUR(F29)&amp;":"&amp;IF(MINUTE(F29)&lt;10,"0"&amp;MINUTE(F29),MINUTE(F29)),"-")</f>
        <v>15:32</v>
      </c>
      <c r="Q29" t="str">
        <f t="shared" ref="Q29" si="39">IF($F29&gt;0,HOUR(G29)&amp;":"&amp;IF(MINUTE(G29)&lt;10,"0"&amp;MINUTE(G29),MINUTE(G29)),"-")</f>
        <v>2:56</v>
      </c>
      <c r="R29" t="s">
        <v>26</v>
      </c>
      <c r="S29" s="19" t="s">
        <v>27</v>
      </c>
      <c r="T29" s="19" t="s">
        <v>28</v>
      </c>
      <c r="U29" s="17"/>
      <c r="V29" t="str">
        <f t="shared" ref="V29" si="40">"&lt;TR&gt;&lt;TD&gt;"&amp;A29&amp;"&lt;/TD&gt;&lt;TD&gt;"&amp;R29&amp;A29&amp;S29&amp;B29&amp;T29&amp;"&lt;/TD&gt;&lt;TD&gt;"&amp;C29&amp;"&lt;/TD&gt;&lt;TD&gt;"&amp;D29&amp;"&lt;/TD&gt;&lt;TD&gt;"&amp;O29&amp;"&lt;/TD&gt;&lt;TD&gt;"&amp;P29&amp;"&lt;/TD&gt;&lt;TD&gt;"&amp;Q29&amp;"&lt;/TD&gt;&lt;TD&gt;"&amp;H29&amp;"&lt;/TD&gt;&lt;TD&gt;"&amp;I29&amp;"&lt;/TD&gt;&lt;TD&gt;"&amp;J29&amp;"&lt;/TD&gt;&lt;TD&gt;"&amp;K29&amp;"&lt;/TD&gt;&lt;TD&gt;"&amp;L29&amp;"&lt;/TD&gt;&lt;/TR&gt;"</f>
        <v>&lt;TR&gt;&lt;TD&gt;18a&lt;/TD&gt;&lt;TD&gt; &lt;a href="#Day-18a"&gt;Tue 8/31&lt;/a&gt;&lt;/TD&gt;&lt;TD&gt;Garrison Bay (at anchor)&lt;/TD&gt;&lt;TD&gt;Spencer Spit&lt;/TD&gt;&lt;TD&gt;12:36&lt;/TD&gt;&lt;TD&gt;15:32&lt;/TD&gt;&lt;TD&gt;2:56&lt;/TD&gt;&lt;TD&gt;0&lt;/TD&gt;&lt;TD&gt;23.3&lt;/TD&gt;&lt;TD&gt;7.9&lt;/TD&gt;&lt;TD&gt;330.5&lt;/TD&gt;&lt;TD&gt;4.1&lt;/TD&gt;&lt;/TR&gt;</v>
      </c>
    </row>
    <row r="30" spans="1:22" ht="13.5" customHeight="1">
      <c r="A30" s="3">
        <v>19</v>
      </c>
      <c r="B30" s="142" t="s">
        <v>179</v>
      </c>
      <c r="C30" s="49" t="s">
        <v>809</v>
      </c>
      <c r="D30" s="49" t="s">
        <v>866</v>
      </c>
      <c r="E30" s="5">
        <v>0.34027777777777773</v>
      </c>
      <c r="F30" s="5">
        <v>0.3979166666666667</v>
      </c>
      <c r="G30" s="5">
        <f t="shared" si="0"/>
        <v>5.7638888888888962E-2</v>
      </c>
      <c r="H30" s="3">
        <v>20</v>
      </c>
      <c r="I30" s="3">
        <v>9.3000000000000007</v>
      </c>
      <c r="J30" s="6">
        <f t="shared" si="1"/>
        <v>6.7</v>
      </c>
      <c r="K30" s="6">
        <v>332</v>
      </c>
      <c r="L30" s="6">
        <f t="shared" ref="L30:L32" si="41">IF(K30&gt;0,ROUND(K30-K29,1),0)</f>
        <v>1.5</v>
      </c>
      <c r="M30" s="13">
        <f t="shared" si="3"/>
        <v>5.7638888888888962E-2</v>
      </c>
      <c r="O30" t="str">
        <f t="shared" si="33"/>
        <v>8:10</v>
      </c>
      <c r="P30" t="str">
        <f t="shared" si="33"/>
        <v>9:33</v>
      </c>
      <c r="Q30" t="str">
        <f t="shared" si="33"/>
        <v>1:23</v>
      </c>
      <c r="R30" t="s">
        <v>26</v>
      </c>
      <c r="S30" s="19" t="s">
        <v>27</v>
      </c>
      <c r="T30" s="19" t="s">
        <v>28</v>
      </c>
      <c r="U30" s="17"/>
      <c r="V30" t="str">
        <f t="shared" si="5"/>
        <v>&lt;TR&gt;&lt;TD&gt;19&lt;/TD&gt;&lt;TD&gt; &lt;a href="#Day-19"&gt;Wed 9/1&lt;/a&gt;&lt;/TD&gt;&lt;TD&gt;Spencer Spit&lt;/TD&gt;&lt;TD&gt;West Sound Public Dock&lt;/TD&gt;&lt;TD&gt;8:10&lt;/TD&gt;&lt;TD&gt;9:33&lt;/TD&gt;&lt;TD&gt;1:23&lt;/TD&gt;&lt;TD&gt;20&lt;/TD&gt;&lt;TD&gt;9.3&lt;/TD&gt;&lt;TD&gt;6.7&lt;/TD&gt;&lt;TD&gt;332&lt;/TD&gt;&lt;TD&gt;1.5&lt;/TD&gt;&lt;/TR&gt;</v>
      </c>
    </row>
    <row r="31" spans="1:22" ht="13.5" customHeight="1">
      <c r="A31" s="3" t="s">
        <v>867</v>
      </c>
      <c r="B31" s="142" t="s">
        <v>179</v>
      </c>
      <c r="C31" s="49" t="s">
        <v>866</v>
      </c>
      <c r="D31" s="15" t="s">
        <v>91</v>
      </c>
      <c r="E31" s="5">
        <v>0.49583333333333335</v>
      </c>
      <c r="F31" s="5">
        <v>0.55138888888888882</v>
      </c>
      <c r="G31" s="5">
        <f t="shared" ref="G31" si="42">IF(F31&gt;0,F31-E31,"-")</f>
        <v>5.5555555555555469E-2</v>
      </c>
      <c r="H31" s="3">
        <v>0</v>
      </c>
      <c r="I31" s="3">
        <v>9.1</v>
      </c>
      <c r="J31" s="6">
        <f t="shared" ref="J31" si="43">IF(F31&gt;0,ROUND(I31/(HOUR(G31)+(MINUTE(G31)/60)),1),"-")</f>
        <v>6.8</v>
      </c>
      <c r="K31" s="6">
        <v>333.4</v>
      </c>
      <c r="L31" s="6">
        <f t="shared" si="41"/>
        <v>1.4</v>
      </c>
      <c r="M31" s="13">
        <f t="shared" ref="M31" si="44">G31</f>
        <v>5.5555555555555469E-2</v>
      </c>
      <c r="O31" t="str">
        <f t="shared" ref="O31" si="45">IF($F31&gt;0,HOUR(E31)&amp;":"&amp;IF(MINUTE(E31)&lt;10,"0"&amp;MINUTE(E31),MINUTE(E31)),"-")</f>
        <v>11:54</v>
      </c>
      <c r="P31" t="str">
        <f t="shared" ref="P31" si="46">IF($F31&gt;0,HOUR(F31)&amp;":"&amp;IF(MINUTE(F31)&lt;10,"0"&amp;MINUTE(F31),MINUTE(F31)),"-")</f>
        <v>13:14</v>
      </c>
      <c r="Q31" t="str">
        <f t="shared" ref="Q31" si="47">IF($F31&gt;0,HOUR(G31)&amp;":"&amp;IF(MINUTE(G31)&lt;10,"0"&amp;MINUTE(G31),MINUTE(G31)),"-")</f>
        <v>1:20</v>
      </c>
      <c r="R31" t="s">
        <v>26</v>
      </c>
      <c r="S31" s="19" t="s">
        <v>27</v>
      </c>
      <c r="T31" s="19" t="s">
        <v>28</v>
      </c>
      <c r="U31" s="17"/>
      <c r="V31" t="str">
        <f t="shared" ref="V31" si="48">"&lt;TR&gt;&lt;TD&gt;"&amp;A31&amp;"&lt;/TD&gt;&lt;TD&gt;"&amp;R31&amp;A31&amp;S31&amp;B31&amp;T31&amp;"&lt;/TD&gt;&lt;TD&gt;"&amp;C31&amp;"&lt;/TD&gt;&lt;TD&gt;"&amp;D31&amp;"&lt;/TD&gt;&lt;TD&gt;"&amp;O31&amp;"&lt;/TD&gt;&lt;TD&gt;"&amp;P31&amp;"&lt;/TD&gt;&lt;TD&gt;"&amp;Q31&amp;"&lt;/TD&gt;&lt;TD&gt;"&amp;H31&amp;"&lt;/TD&gt;&lt;TD&gt;"&amp;I31&amp;"&lt;/TD&gt;&lt;TD&gt;"&amp;J31&amp;"&lt;/TD&gt;&lt;TD&gt;"&amp;K31&amp;"&lt;/TD&gt;&lt;TD&gt;"&amp;L31&amp;"&lt;/TD&gt;&lt;/TR&gt;"</f>
        <v>&lt;TR&gt;&lt;TD&gt;19a&lt;/TD&gt;&lt;TD&gt; &lt;a href="#Day-19a"&gt;Wed 9/1&lt;/a&gt;&lt;/TD&gt;&lt;TD&gt;West Sound Public Dock&lt;/TD&gt;&lt;TD&gt;Rosario Resort&lt;/TD&gt;&lt;TD&gt;11:54&lt;/TD&gt;&lt;TD&gt;13:14&lt;/TD&gt;&lt;TD&gt;1:20&lt;/TD&gt;&lt;TD&gt;0&lt;/TD&gt;&lt;TD&gt;9.1&lt;/TD&gt;&lt;TD&gt;6.8&lt;/TD&gt;&lt;TD&gt;333.4&lt;/TD&gt;&lt;TD&gt;1.4&lt;/TD&gt;&lt;/TR&gt;</v>
      </c>
    </row>
    <row r="32" spans="1:22" ht="13.5" customHeight="1">
      <c r="A32" s="3">
        <v>20</v>
      </c>
      <c r="B32" s="142" t="s">
        <v>180</v>
      </c>
      <c r="C32" s="15" t="s">
        <v>91</v>
      </c>
      <c r="D32" s="15" t="s">
        <v>893</v>
      </c>
      <c r="E32" s="5">
        <v>0.38055555555555554</v>
      </c>
      <c r="F32" s="5">
        <v>0.49722222222222223</v>
      </c>
      <c r="G32" s="5">
        <f t="shared" si="0"/>
        <v>0.1166666666666667</v>
      </c>
      <c r="H32" s="3">
        <v>22</v>
      </c>
      <c r="I32" s="3">
        <v>21.5</v>
      </c>
      <c r="J32" s="6">
        <f t="shared" si="1"/>
        <v>7.7</v>
      </c>
      <c r="K32" s="6">
        <v>336.3</v>
      </c>
      <c r="L32" s="6">
        <f t="shared" si="41"/>
        <v>2.9</v>
      </c>
      <c r="M32" s="13">
        <f t="shared" si="3"/>
        <v>0.1166666666666667</v>
      </c>
      <c r="O32" t="str">
        <f t="shared" si="33"/>
        <v>9:08</v>
      </c>
      <c r="P32" t="str">
        <f t="shared" si="33"/>
        <v>11:56</v>
      </c>
      <c r="Q32" t="str">
        <f t="shared" si="33"/>
        <v>2:48</v>
      </c>
      <c r="R32" t="s">
        <v>26</v>
      </c>
      <c r="S32" s="19" t="s">
        <v>27</v>
      </c>
      <c r="T32" s="19" t="s">
        <v>28</v>
      </c>
      <c r="U32" s="17"/>
      <c r="V32" t="str">
        <f t="shared" si="5"/>
        <v>&lt;TR&gt;&lt;TD&gt;20&lt;/TD&gt;&lt;TD&gt; &lt;a href="#Day-20"&gt;Thu 9/2&lt;/a&gt;&lt;/TD&gt;&lt;TD&gt;Rosario Resort&lt;/TD&gt;&lt;TD&gt;Portage channel - lunch&lt;/TD&gt;&lt;TD&gt;9:08&lt;/TD&gt;&lt;TD&gt;11:56&lt;/TD&gt;&lt;TD&gt;2:48&lt;/TD&gt;&lt;TD&gt;22&lt;/TD&gt;&lt;TD&gt;21.5&lt;/TD&gt;&lt;TD&gt;7.7&lt;/TD&gt;&lt;TD&gt;336.3&lt;/TD&gt;&lt;TD&gt;2.9&lt;/TD&gt;&lt;/TR&gt;</v>
      </c>
    </row>
    <row r="33" spans="1:22" ht="13.5" customHeight="1">
      <c r="A33" s="3" t="s">
        <v>892</v>
      </c>
      <c r="B33" s="142" t="s">
        <v>180</v>
      </c>
      <c r="C33" s="15" t="s">
        <v>893</v>
      </c>
      <c r="D33" s="15" t="s">
        <v>30</v>
      </c>
      <c r="E33" s="5">
        <v>0.57291666666666663</v>
      </c>
      <c r="F33" s="5">
        <v>0.59444444444444444</v>
      </c>
      <c r="G33" s="5">
        <f t="shared" ref="G33" si="49">IF(F33&gt;0,F33-E33,"-")</f>
        <v>2.1527777777777812E-2</v>
      </c>
      <c r="I33" s="3">
        <v>5.3</v>
      </c>
      <c r="J33" s="6">
        <f t="shared" ref="J33" si="50">IF(F33&gt;0,ROUND(I33/(HOUR(G33)+(MINUTE(G33)/60)),1),"-")</f>
        <v>10.3</v>
      </c>
      <c r="K33" s="6">
        <v>337.5</v>
      </c>
      <c r="L33" s="6">
        <f t="shared" ref="L33" si="51">IF(K33&gt;0,ROUND(K33-K32,1),0)</f>
        <v>1.2</v>
      </c>
      <c r="M33" s="13">
        <f t="shared" ref="M33" si="52">G33</f>
        <v>2.1527777777777812E-2</v>
      </c>
      <c r="O33" t="str">
        <f t="shared" ref="O33" si="53">IF($F33&gt;0,HOUR(E33)&amp;":"&amp;IF(MINUTE(E33)&lt;10,"0"&amp;MINUTE(E33),MINUTE(E33)),"-")</f>
        <v>13:45</v>
      </c>
      <c r="P33" t="str">
        <f t="shared" ref="P33" si="54">IF($F33&gt;0,HOUR(F33)&amp;":"&amp;IF(MINUTE(F33)&lt;10,"0"&amp;MINUTE(F33),MINUTE(F33)),"-")</f>
        <v>14:16</v>
      </c>
      <c r="Q33" t="str">
        <f t="shared" ref="Q33" si="55">IF($F33&gt;0,HOUR(G33)&amp;":"&amp;IF(MINUTE(G33)&lt;10,"0"&amp;MINUTE(G33),MINUTE(G33)),"-")</f>
        <v>0:31</v>
      </c>
      <c r="R33" t="s">
        <v>26</v>
      </c>
      <c r="S33" s="19" t="s">
        <v>27</v>
      </c>
      <c r="T33" s="19" t="s">
        <v>28</v>
      </c>
      <c r="U33" s="17"/>
      <c r="V33" t="str">
        <f t="shared" ref="V33" si="56">"&lt;TR&gt;&lt;TD&gt;"&amp;A33&amp;"&lt;/TD&gt;&lt;TD&gt;"&amp;R33&amp;A33&amp;S33&amp;B33&amp;T33&amp;"&lt;/TD&gt;&lt;TD&gt;"&amp;C33&amp;"&lt;/TD&gt;&lt;TD&gt;"&amp;D33&amp;"&lt;/TD&gt;&lt;TD&gt;"&amp;O33&amp;"&lt;/TD&gt;&lt;TD&gt;"&amp;P33&amp;"&lt;/TD&gt;&lt;TD&gt;"&amp;Q33&amp;"&lt;/TD&gt;&lt;TD&gt;"&amp;H33&amp;"&lt;/TD&gt;&lt;TD&gt;"&amp;I33&amp;"&lt;/TD&gt;&lt;TD&gt;"&amp;J33&amp;"&lt;/TD&gt;&lt;TD&gt;"&amp;K33&amp;"&lt;/TD&gt;&lt;TD&gt;"&amp;L33&amp;"&lt;/TD&gt;&lt;/TR&gt;"</f>
        <v>&lt;TR&gt;&lt;TD&gt;20a&lt;/TD&gt;&lt;TD&gt; &lt;a href="#Day-20a"&gt;Thu 9/2&lt;/a&gt;&lt;/TD&gt;&lt;TD&gt;Portage channel - lunch&lt;/TD&gt;&lt;TD&gt;Bellingham&lt;/TD&gt;&lt;TD&gt;13:45&lt;/TD&gt;&lt;TD&gt;14:16&lt;/TD&gt;&lt;TD&gt;0:31&lt;/TD&gt;&lt;TD&gt;&lt;/TD&gt;&lt;TD&gt;5.3&lt;/TD&gt;&lt;TD&gt;10.3&lt;/TD&gt;&lt;TD&gt;337.5&lt;/TD&gt;&lt;TD&gt;1.2&lt;/TD&gt;&lt;/TR&gt;</v>
      </c>
    </row>
    <row r="34" spans="1:22" ht="13.5" customHeight="1">
      <c r="A34" s="3">
        <v>21</v>
      </c>
      <c r="B34" s="142" t="s">
        <v>181</v>
      </c>
      <c r="C34" s="15" t="s">
        <v>30</v>
      </c>
      <c r="D34" s="15" t="s">
        <v>30</v>
      </c>
      <c r="E34" s="5"/>
      <c r="F34" s="5"/>
      <c r="G34" s="5" t="str">
        <f t="shared" si="0"/>
        <v>-</v>
      </c>
      <c r="H34" s="3">
        <v>0</v>
      </c>
      <c r="J34" s="6" t="str">
        <f t="shared" si="1"/>
        <v>-</v>
      </c>
      <c r="K34" s="6"/>
      <c r="L34" s="6">
        <f>IF(K34&gt;0,ROUND(K34-K32,1),0)</f>
        <v>0</v>
      </c>
      <c r="M34" s="13" t="str">
        <f t="shared" si="3"/>
        <v>-</v>
      </c>
      <c r="O34" t="str">
        <f t="shared" si="33"/>
        <v>-</v>
      </c>
      <c r="P34" t="str">
        <f t="shared" si="33"/>
        <v>-</v>
      </c>
      <c r="Q34" t="str">
        <f t="shared" si="33"/>
        <v>-</v>
      </c>
      <c r="R34" t="s">
        <v>26</v>
      </c>
      <c r="S34" s="19" t="s">
        <v>27</v>
      </c>
      <c r="T34" s="19" t="s">
        <v>28</v>
      </c>
      <c r="U34" s="17"/>
      <c r="V34" t="str">
        <f t="shared" si="5"/>
        <v>&lt;TR&gt;&lt;TD&gt;21&lt;/TD&gt;&lt;TD&gt; &lt;a href="#Day-21"&gt;Fri 9/3&lt;/a&gt;&lt;/TD&gt;&lt;TD&gt;Bellingham&lt;/TD&gt;&lt;TD&gt;Bellingham&lt;/TD&gt;&lt;TD&gt;-&lt;/TD&gt;&lt;TD&gt;-&lt;/TD&gt;&lt;TD&gt;-&lt;/TD&gt;&lt;TD&gt;0&lt;/TD&gt;&lt;TD&gt;&lt;/TD&gt;&lt;TD&gt;-&lt;/TD&gt;&lt;TD&gt;&lt;/TD&gt;&lt;TD&gt;0&lt;/TD&gt;&lt;/TR&gt;</v>
      </c>
    </row>
    <row r="35" spans="1:22" ht="13.5" customHeight="1">
      <c r="C35" s="11"/>
      <c r="D35" s="11"/>
      <c r="V35" t="str">
        <f t="shared" si="5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</row>
    <row r="36" spans="1:22" ht="13.5" customHeight="1">
      <c r="C36" s="11"/>
      <c r="D36" s="11"/>
      <c r="G36" s="3" t="s">
        <v>18</v>
      </c>
      <c r="H36" s="3">
        <f>SUM(H7:H35)</f>
        <v>505</v>
      </c>
      <c r="I36" s="3">
        <f>SUM(I7:I35)</f>
        <v>581.37999999999988</v>
      </c>
      <c r="J36" s="6">
        <f>IF(I36&gt;0,ROUND(I36/M38,1),0)</f>
        <v>7.5</v>
      </c>
      <c r="L36" s="3">
        <f>SUM(L7:L35)</f>
        <v>85.899999999999991</v>
      </c>
      <c r="M36" s="13">
        <f>SUM(M7:M35)</f>
        <v>3.2270833333333337</v>
      </c>
      <c r="V36" t="str">
        <f>"&lt;TR&gt;&lt;TD&gt;"&amp;A36&amp;"&lt;/TD&gt;&lt;TD&gt;"&amp;R36&amp;A36&amp;S36&amp;B36&amp;T36&amp;"&lt;/TD&gt;&lt;TD&gt;"&amp;C36&amp;"&lt;/TD&gt;&lt;TD&gt;"&amp;D36&amp;"&lt;/TD&gt;&lt;TD&gt;"&amp;O36&amp;"&lt;/TD&gt;&lt;TD&gt;"&amp;P36&amp;"&lt;/TD&gt;&lt;TD&gt;"&amp;G36&amp;"&lt;/TD&gt;&lt;TD&gt;"&amp;H36&amp;"&lt;/TD&gt;&lt;TD&gt;"&amp;I36&amp;"&lt;/TD&gt;&lt;TD&gt;"&amp;J36&amp;"&lt;/TD&gt;&lt;TD&gt;"&amp;K36&amp;"&lt;/TD&gt;&lt;TD&gt;"&amp;L36&amp;"&lt;/TD&gt;&lt;/TR&gt;"</f>
        <v>&lt;TR&gt;&lt;TD&gt;&lt;/TD&gt;&lt;TD&gt;&lt;/TD&gt;&lt;TD&gt;&lt;/TD&gt;&lt;TD&gt;&lt;/TD&gt;&lt;TD&gt;&lt;/TD&gt;&lt;TD&gt;&lt;/TD&gt;&lt;TD&gt;Totals:&lt;/TD&gt;&lt;TD&gt;505&lt;/TD&gt;&lt;TD&gt;581.38&lt;/TD&gt;&lt;TD&gt;7.5&lt;/TD&gt;&lt;TD&gt;&lt;/TD&gt;&lt;TD&gt;85.9&lt;/TD&gt;&lt;/TR&gt;</v>
      </c>
    </row>
    <row r="37" spans="1:22" ht="13.5" customHeight="1">
      <c r="L37" s="3" t="s">
        <v>11</v>
      </c>
      <c r="V37" s="14" t="s">
        <v>29</v>
      </c>
    </row>
    <row r="38" spans="1:22" ht="13.5" customHeight="1">
      <c r="H38" s="3" t="s">
        <v>924</v>
      </c>
      <c r="I38" s="3">
        <v>360</v>
      </c>
      <c r="J38" s="6">
        <f>I38/L36</f>
        <v>4.1909196740395815</v>
      </c>
      <c r="K38" s="3" t="s">
        <v>923</v>
      </c>
      <c r="L38" s="143">
        <f>L36/M38</f>
        <v>1.1091026468689476</v>
      </c>
      <c r="M38" s="144">
        <f>DAY(M36)*24+HOUR(M36)+MINUTE(M36)/60</f>
        <v>77.45</v>
      </c>
      <c r="N38" s="14" t="s">
        <v>24</v>
      </c>
    </row>
    <row r="39" spans="1:22" ht="13.5" customHeight="1">
      <c r="J39" s="6">
        <f>I36/I38</f>
        <v>1.6149444444444441</v>
      </c>
      <c r="K39" s="3" t="s">
        <v>925</v>
      </c>
    </row>
    <row r="40" spans="1:22" ht="13.5" customHeight="1">
      <c r="V40" s="14" t="s">
        <v>25</v>
      </c>
    </row>
    <row r="43" spans="1:22" ht="13.5" customHeight="1"/>
    <row r="44" spans="1:22" ht="13.5" customHeight="1"/>
  </sheetData>
  <phoneticPr fontId="1" type="noConversion"/>
  <printOptions horizontalCentered="1"/>
  <pageMargins left="0.2" right="0.2" top="0.5" bottom="0.5" header="0.25" footer="0.25"/>
  <pageSetup scale="97" orientation="landscape" horizontalDpi="4294967293" verticalDpi="0" r:id="rId1"/>
  <headerFooter alignWithMargins="0">
    <oddFooter>&amp;L&amp;F / &amp;A</oddFooter>
  </headerFooter>
  <legacyDrawing r:id="rId2"/>
  <webPublishItems count="1">
    <webPublishItem id="9239" divId="Javelin 10 Trip log_9239" sourceType="range" sourceRef="A3:L41" destinationFile="C:\Images\jav10\Javelin 10 Trip log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E50" sqref="E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119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135</v>
      </c>
      <c r="B3" s="45"/>
      <c r="C3" s="45"/>
      <c r="D3" s="45"/>
      <c r="E3" s="45"/>
      <c r="F3" s="45"/>
      <c r="G3" s="51">
        <v>0.35416666666666669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136</v>
      </c>
      <c r="B4" s="48">
        <v>28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0.14583333333333334</v>
      </c>
      <c r="G4" s="46">
        <f>IF(I5="G","",IF(ISBLANK(A4),"",G3+H3+F4))</f>
        <v>0.5</v>
      </c>
      <c r="H4" s="52"/>
      <c r="I4" s="43"/>
      <c r="J4" s="46" t="str">
        <f>IF(I5="G",K5-F5-H4,"")</f>
        <v/>
      </c>
      <c r="K4" s="46"/>
    </row>
    <row r="5" spans="1:11">
      <c r="A5" s="42"/>
      <c r="B5" s="72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1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/>
      <c r="B8" s="48"/>
      <c r="C8" s="48" t="str">
        <f>IF(ISBLANK(A8),"",Plan_Speed)</f>
        <v/>
      </c>
      <c r="D8" s="48"/>
      <c r="E8" s="43" t="str">
        <f>IF(ISBLANK(A8),"",C8+D8)</f>
        <v/>
      </c>
      <c r="F8" s="44" t="str">
        <f>IF(ISBLANK(A8),"",(B8/E8)/24)</f>
        <v/>
      </c>
      <c r="G8" s="46" t="str">
        <f>IF(I5="G","",IF(ISBLANK(A8),"",G6+H6+F8))</f>
        <v/>
      </c>
      <c r="H8" s="52"/>
      <c r="I8" s="43"/>
      <c r="J8" s="46" t="str">
        <f>IF(ISBLANK(I5),"",IF(ISBLANK(A8),"",J7+H8+F8))</f>
        <v/>
      </c>
      <c r="K8" s="46"/>
    </row>
    <row r="9" spans="1:11">
      <c r="A9" s="92" t="s">
        <v>76</v>
      </c>
      <c r="B9">
        <f>SUM(B2:B8)</f>
        <v>28</v>
      </c>
      <c r="E9" s="67" t="s">
        <v>75</v>
      </c>
      <c r="F9" s="77">
        <f>SUM(F3:F8)</f>
        <v>0.14583333333333334</v>
      </c>
      <c r="H9" t="s">
        <v>150</v>
      </c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45" t="s">
        <v>507</v>
      </c>
      <c r="B29" s="146"/>
      <c r="C29" s="146"/>
      <c r="D29" s="146"/>
      <c r="E29" s="146"/>
      <c r="F29" s="146"/>
      <c r="G29" s="146"/>
      <c r="H29" s="147" t="s">
        <v>532</v>
      </c>
      <c r="I29" s="127"/>
      <c r="J29" s="127"/>
      <c r="K29" s="127"/>
    </row>
    <row r="30" spans="1:11" ht="15.95" customHeight="1">
      <c r="A30" s="145" t="s">
        <v>508</v>
      </c>
      <c r="B30" s="145" t="s">
        <v>186</v>
      </c>
      <c r="C30" s="145" t="s">
        <v>478</v>
      </c>
      <c r="D30" s="145" t="s">
        <v>521</v>
      </c>
      <c r="E30" s="145" t="s">
        <v>266</v>
      </c>
      <c r="F30" s="145" t="s">
        <v>219</v>
      </c>
      <c r="G30" s="145" t="s">
        <v>212</v>
      </c>
      <c r="H30" s="127"/>
      <c r="I30" s="127"/>
      <c r="J30" s="127"/>
      <c r="K30" s="127"/>
    </row>
    <row r="31" spans="1:11" ht="15.95" customHeight="1">
      <c r="A31" s="145" t="s">
        <v>509</v>
      </c>
      <c r="B31" s="145" t="s">
        <v>518</v>
      </c>
      <c r="C31" s="145" t="s">
        <v>305</v>
      </c>
      <c r="D31" s="145" t="s">
        <v>471</v>
      </c>
      <c r="E31" s="145" t="s">
        <v>528</v>
      </c>
      <c r="F31" s="145" t="s">
        <v>269</v>
      </c>
      <c r="G31" s="145" t="s">
        <v>208</v>
      </c>
      <c r="H31" s="147" t="s">
        <v>533</v>
      </c>
      <c r="I31" s="127"/>
      <c r="J31" s="127"/>
      <c r="K31" s="127"/>
    </row>
    <row r="32" spans="1:11" ht="15.95" customHeight="1">
      <c r="A32" s="145" t="s">
        <v>510</v>
      </c>
      <c r="B32" s="145" t="s">
        <v>186</v>
      </c>
      <c r="C32" s="145" t="s">
        <v>303</v>
      </c>
      <c r="D32" s="145" t="s">
        <v>522</v>
      </c>
      <c r="E32" s="145" t="s">
        <v>447</v>
      </c>
      <c r="F32" s="145" t="s">
        <v>529</v>
      </c>
      <c r="G32" s="145" t="s">
        <v>208</v>
      </c>
      <c r="H32" s="147" t="s">
        <v>534</v>
      </c>
      <c r="I32" s="127"/>
      <c r="J32" s="127"/>
      <c r="K32" s="127"/>
    </row>
    <row r="33" spans="1:11" ht="15.95" customHeight="1">
      <c r="A33" s="145" t="s">
        <v>511</v>
      </c>
      <c r="B33" s="145" t="s">
        <v>186</v>
      </c>
      <c r="C33" s="145" t="s">
        <v>205</v>
      </c>
      <c r="D33" s="145" t="s">
        <v>352</v>
      </c>
      <c r="E33" s="145" t="s">
        <v>447</v>
      </c>
      <c r="F33" s="145" t="s">
        <v>529</v>
      </c>
      <c r="G33" s="145" t="s">
        <v>208</v>
      </c>
      <c r="H33" s="147" t="s">
        <v>535</v>
      </c>
      <c r="I33" s="127"/>
      <c r="J33" s="127"/>
      <c r="K33" s="127"/>
    </row>
    <row r="34" spans="1:11" ht="15.95" customHeight="1">
      <c r="A34" s="145" t="s">
        <v>512</v>
      </c>
      <c r="B34" s="145" t="s">
        <v>186</v>
      </c>
      <c r="C34" s="145" t="s">
        <v>253</v>
      </c>
      <c r="D34" s="145" t="s">
        <v>523</v>
      </c>
      <c r="E34" s="145" t="s">
        <v>447</v>
      </c>
      <c r="F34" s="145" t="s">
        <v>529</v>
      </c>
      <c r="G34" s="145" t="s">
        <v>208</v>
      </c>
      <c r="H34" s="147" t="s">
        <v>536</v>
      </c>
      <c r="I34" s="127"/>
      <c r="J34" s="127"/>
      <c r="K34" s="127"/>
    </row>
    <row r="35" spans="1:11" ht="15.95" customHeight="1">
      <c r="A35" s="145" t="s">
        <v>513</v>
      </c>
      <c r="B35" s="145" t="s">
        <v>200</v>
      </c>
      <c r="C35" s="145" t="s">
        <v>303</v>
      </c>
      <c r="D35" s="145" t="s">
        <v>524</v>
      </c>
      <c r="E35" s="145" t="s">
        <v>447</v>
      </c>
      <c r="F35" s="145" t="s">
        <v>529</v>
      </c>
      <c r="G35" s="145" t="s">
        <v>208</v>
      </c>
      <c r="H35" s="147" t="s">
        <v>537</v>
      </c>
      <c r="I35" s="127"/>
      <c r="J35" s="127"/>
      <c r="K35" s="127"/>
    </row>
    <row r="36" spans="1:11" ht="15.95" customHeight="1">
      <c r="A36" s="145" t="s">
        <v>514</v>
      </c>
      <c r="B36" s="145" t="s">
        <v>200</v>
      </c>
      <c r="C36" s="145" t="s">
        <v>519</v>
      </c>
      <c r="D36" s="145" t="s">
        <v>525</v>
      </c>
      <c r="E36" s="145" t="s">
        <v>447</v>
      </c>
      <c r="F36" s="145" t="s">
        <v>270</v>
      </c>
      <c r="G36" s="145" t="s">
        <v>208</v>
      </c>
      <c r="H36" s="147" t="s">
        <v>457</v>
      </c>
      <c r="I36" s="127"/>
      <c r="J36" s="127"/>
      <c r="K36" s="127"/>
    </row>
    <row r="37" spans="1:11" ht="15.95" customHeight="1">
      <c r="A37" s="145" t="s">
        <v>515</v>
      </c>
      <c r="B37" s="145" t="s">
        <v>200</v>
      </c>
      <c r="C37" s="145" t="s">
        <v>520</v>
      </c>
      <c r="D37" s="145" t="s">
        <v>526</v>
      </c>
      <c r="E37" s="145" t="s">
        <v>447</v>
      </c>
      <c r="F37" s="145" t="s">
        <v>270</v>
      </c>
      <c r="G37" s="145" t="s">
        <v>208</v>
      </c>
      <c r="H37" s="147" t="s">
        <v>538</v>
      </c>
      <c r="I37" s="127"/>
      <c r="J37" s="127"/>
      <c r="K37" s="127"/>
    </row>
    <row r="38" spans="1:11" ht="15.95" customHeight="1">
      <c r="A38" s="145" t="s">
        <v>516</v>
      </c>
      <c r="B38" s="146"/>
      <c r="C38" s="146"/>
      <c r="D38" s="146"/>
      <c r="E38" s="146"/>
      <c r="F38" s="145" t="s">
        <v>530</v>
      </c>
      <c r="G38" s="146"/>
      <c r="H38" s="147" t="s">
        <v>539</v>
      </c>
      <c r="I38" s="127"/>
      <c r="J38" s="127"/>
      <c r="K38" s="127"/>
    </row>
    <row r="39" spans="1:11" ht="15.95" customHeight="1">
      <c r="A39" s="145" t="s">
        <v>340</v>
      </c>
      <c r="B39" s="146"/>
      <c r="C39" s="146"/>
      <c r="D39" s="146"/>
      <c r="E39" s="146"/>
      <c r="F39" s="145" t="s">
        <v>531</v>
      </c>
      <c r="G39" s="146"/>
      <c r="H39" s="147" t="s">
        <v>540</v>
      </c>
      <c r="I39" s="127"/>
      <c r="J39" s="127"/>
      <c r="K39" s="127"/>
    </row>
    <row r="40" spans="1:11" ht="15.95" customHeight="1">
      <c r="A40" s="145" t="s">
        <v>433</v>
      </c>
      <c r="B40" s="145" t="s">
        <v>200</v>
      </c>
      <c r="C40" s="145" t="s">
        <v>255</v>
      </c>
      <c r="D40" s="145" t="s">
        <v>527</v>
      </c>
      <c r="E40" s="145" t="s">
        <v>447</v>
      </c>
      <c r="F40" s="145" t="s">
        <v>269</v>
      </c>
      <c r="G40" s="145" t="s">
        <v>208</v>
      </c>
      <c r="H40" s="127"/>
      <c r="I40" s="127"/>
      <c r="J40" s="127"/>
      <c r="K40" s="127"/>
    </row>
    <row r="41" spans="1:11" ht="15.95" customHeight="1">
      <c r="A41" s="145" t="s">
        <v>517</v>
      </c>
      <c r="B41" s="146"/>
      <c r="C41" s="146"/>
      <c r="D41" s="146"/>
      <c r="E41" s="146"/>
      <c r="F41" s="146"/>
      <c r="G41" s="146"/>
      <c r="H41" s="147" t="s">
        <v>541</v>
      </c>
      <c r="I41" s="127"/>
      <c r="J41" s="127"/>
      <c r="K41" s="127"/>
    </row>
    <row r="42" spans="1:11" ht="15.95" customHeight="1">
      <c r="A42" s="146"/>
      <c r="B42" s="146"/>
      <c r="C42" s="146"/>
      <c r="D42" s="146"/>
      <c r="E42" s="146"/>
      <c r="F42" s="146"/>
      <c r="G42" s="146"/>
      <c r="H42" s="127"/>
      <c r="I42" s="127"/>
      <c r="J42" s="127"/>
      <c r="K42" s="127"/>
    </row>
    <row r="43" spans="1:11" ht="15.95" customHeight="1">
      <c r="A43" s="146"/>
      <c r="B43" s="146"/>
      <c r="C43" s="146"/>
      <c r="D43" s="146"/>
      <c r="E43" s="146"/>
      <c r="F43" s="146"/>
      <c r="G43" s="146"/>
      <c r="H43" s="147" t="s">
        <v>542</v>
      </c>
      <c r="I43" s="127"/>
      <c r="J43" s="127"/>
      <c r="K43" s="127"/>
    </row>
    <row r="44" spans="1:11" ht="15.95" customHeight="1">
      <c r="A44" s="146"/>
      <c r="B44" s="146"/>
      <c r="C44" s="146"/>
      <c r="D44" s="146"/>
      <c r="E44" s="146"/>
      <c r="F44" s="146"/>
      <c r="G44" s="146"/>
      <c r="H44" s="147" t="s">
        <v>543</v>
      </c>
      <c r="I44" s="127"/>
      <c r="J44" s="127"/>
      <c r="K44" s="127"/>
    </row>
    <row r="45" spans="1:11" ht="15.95" customHeight="1">
      <c r="A45" s="146"/>
      <c r="B45" s="146"/>
      <c r="C45" s="146"/>
      <c r="D45" s="146"/>
      <c r="E45" s="146"/>
      <c r="F45" s="146"/>
      <c r="G45" s="146"/>
      <c r="H45" s="127"/>
      <c r="I45" s="127"/>
      <c r="J45" s="127"/>
      <c r="K45" s="127"/>
    </row>
    <row r="46" spans="1:11" ht="15.95" customHeight="1">
      <c r="A46" s="146"/>
      <c r="B46" s="146"/>
      <c r="C46" s="146"/>
      <c r="D46" s="146"/>
      <c r="E46" s="146"/>
      <c r="F46" s="146"/>
      <c r="G46" s="146"/>
      <c r="H46" s="127"/>
      <c r="I46" s="127"/>
      <c r="J46" s="127"/>
      <c r="K46" s="127"/>
    </row>
    <row r="47" spans="1:11" ht="15.95" customHeight="1">
      <c r="A47" s="146"/>
      <c r="B47" s="146"/>
      <c r="C47" s="146"/>
      <c r="D47" s="146"/>
      <c r="E47" s="146"/>
      <c r="F47" s="146"/>
      <c r="G47" s="146"/>
      <c r="H47" s="127"/>
      <c r="I47" s="127"/>
      <c r="J47" s="127"/>
      <c r="K47" s="127"/>
    </row>
    <row r="48" spans="1:11" ht="15.95" customHeight="1">
      <c r="A48" s="146"/>
      <c r="B48" s="146"/>
      <c r="C48" s="146"/>
      <c r="D48" s="146"/>
      <c r="E48" s="146"/>
      <c r="F48" s="146"/>
      <c r="G48" s="146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3294.5</v>
      </c>
      <c r="D50" s="76" t="s">
        <v>107</v>
      </c>
      <c r="E50" s="42">
        <v>3296.7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E51" sqref="E51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120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136</v>
      </c>
      <c r="B3" s="45"/>
      <c r="C3" s="45"/>
      <c r="D3" s="45"/>
      <c r="E3" s="45"/>
      <c r="F3" s="45"/>
      <c r="G3" s="51"/>
      <c r="H3" s="45"/>
      <c r="I3" s="45"/>
      <c r="J3" s="46">
        <f>IF(I5="G",IF(ISBLANK(A4),J4,J4-F4),"")</f>
        <v>0.41666666666666669</v>
      </c>
      <c r="K3" s="45"/>
    </row>
    <row r="4" spans="1:11">
      <c r="A4" s="15"/>
      <c r="B4" s="48"/>
      <c r="C4" s="48" t="str">
        <f>IF(ISBLANK(A4),"",Plan_Speed)</f>
        <v/>
      </c>
      <c r="D4" s="48"/>
      <c r="E4" s="43" t="str">
        <f>IF(ISBLANK(A4),"",C4+D4)</f>
        <v/>
      </c>
      <c r="F4" s="44" t="str">
        <f>IF(ISBLANK(A4),"",(B4/E4)/24)</f>
        <v/>
      </c>
      <c r="G4" s="46" t="str">
        <f>IF(I5="G","",IF(ISBLANK(A4),"",G3+H3+F4))</f>
        <v/>
      </c>
      <c r="H4" s="52"/>
      <c r="I4" s="43"/>
      <c r="J4" s="46">
        <f>IF(I5="G",K5-F5-H4,"")</f>
        <v>0.41666666666666669</v>
      </c>
      <c r="K4" s="46"/>
    </row>
    <row r="5" spans="1:11">
      <c r="A5" s="42" t="s">
        <v>151</v>
      </c>
      <c r="B5" s="48">
        <v>18</v>
      </c>
      <c r="C5" s="48">
        <f>IF(ISBLANK(A5),"",Plan_Speed)</f>
        <v>8</v>
      </c>
      <c r="D5" s="48">
        <v>1</v>
      </c>
      <c r="E5" s="43">
        <f>IF(ISBLANK(A5),"",C5+D5)</f>
        <v>9</v>
      </c>
      <c r="F5" s="44">
        <f>IF(ISBLANK(A5),"",(B5/E5)/24)</f>
        <v>8.3333333333333329E-2</v>
      </c>
      <c r="G5" s="46" t="str">
        <f>IF(I5="G","",IF(ISBLANK(A5),"",G4+H4+F5))</f>
        <v/>
      </c>
      <c r="H5" s="52"/>
      <c r="I5" s="72" t="s">
        <v>53</v>
      </c>
      <c r="J5" s="73">
        <f>IF(I5="G",K5,"")</f>
        <v>0.5</v>
      </c>
      <c r="K5" s="52">
        <v>0.5</v>
      </c>
    </row>
    <row r="6" spans="1:11">
      <c r="A6" s="15" t="s">
        <v>137</v>
      </c>
      <c r="B6" s="48">
        <v>11</v>
      </c>
      <c r="C6" s="48">
        <f>IF(ISBLANK(A6),"",Plan_Speed)</f>
        <v>8</v>
      </c>
      <c r="D6" s="48"/>
      <c r="E6" s="43">
        <f>IF(ISBLANK(A6),"",C6+D6)</f>
        <v>8</v>
      </c>
      <c r="F6" s="44">
        <f>IF(ISBLANK(A6),"",(B6/E6)/24)</f>
        <v>5.7291666666666664E-2</v>
      </c>
      <c r="G6" s="46" t="str">
        <f>IF(I5="G","",IF(ISBLANK(A6),"",G5+H5+F6))</f>
        <v/>
      </c>
      <c r="H6" s="52"/>
      <c r="I6" s="43"/>
      <c r="J6" s="46">
        <f>IF(ISBLANK(I5),"",IF(ISBLANK(A6),"",J5+H6+F6))</f>
        <v>0.55729166666666663</v>
      </c>
      <c r="K6" s="46"/>
    </row>
    <row r="7" spans="1:11">
      <c r="A7" s="83"/>
      <c r="B7" s="91"/>
      <c r="C7" s="91"/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IF(I5="G","",IF(ISBLANK(A7),"",G5+H5+F7))</f>
        <v/>
      </c>
      <c r="H7" s="52"/>
      <c r="I7" s="43"/>
      <c r="J7" s="46" t="str">
        <f>IF(ISBLANK(I5),"",IF(ISBLANK(A7),"",J5+H7+F7))</f>
        <v/>
      </c>
      <c r="K7" s="46"/>
    </row>
    <row r="8" spans="1:11">
      <c r="A8" s="42"/>
      <c r="B8" s="48"/>
      <c r="C8" s="48" t="str">
        <f>IF(ISBLANK(A8),"",Plan_Speed)</f>
        <v/>
      </c>
      <c r="D8" s="48"/>
      <c r="E8" s="43" t="str">
        <f>IF(ISBLANK(A8),"",C8+D8)</f>
        <v/>
      </c>
      <c r="F8" s="44" t="str">
        <f>IF(ISBLANK(A8),"",(B8/E8)/24)</f>
        <v/>
      </c>
      <c r="G8" s="46" t="str">
        <f>IF(I5="G","",IF(ISBLANK(A8),"",G6+H6+F8))</f>
        <v/>
      </c>
      <c r="H8" s="52"/>
      <c r="I8" s="43"/>
      <c r="J8" s="46" t="str">
        <f>IF(ISBLANK(I5),"",IF(ISBLANK(A8),"",J6+H8+F8))</f>
        <v/>
      </c>
      <c r="K8" s="46"/>
    </row>
    <row r="9" spans="1:11">
      <c r="A9" s="92" t="s">
        <v>76</v>
      </c>
      <c r="B9">
        <f>SUM(B3:B8)</f>
        <v>29</v>
      </c>
      <c r="E9" s="67" t="s">
        <v>75</v>
      </c>
      <c r="F9" s="77">
        <f>SUM(F3:F8)</f>
        <v>0.140625</v>
      </c>
      <c r="H9" t="s">
        <v>152</v>
      </c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544</v>
      </c>
      <c r="B29" s="152" t="s">
        <v>199</v>
      </c>
      <c r="C29" s="152" t="s">
        <v>554</v>
      </c>
      <c r="D29" s="152" t="s">
        <v>559</v>
      </c>
      <c r="E29" s="152" t="s">
        <v>265</v>
      </c>
      <c r="F29" s="151"/>
      <c r="G29" s="151"/>
      <c r="H29" s="147" t="s">
        <v>568</v>
      </c>
      <c r="I29" s="127"/>
      <c r="J29" s="127"/>
      <c r="K29" s="127"/>
    </row>
    <row r="30" spans="1:11" ht="15.95" customHeight="1">
      <c r="A30" s="152" t="s">
        <v>545</v>
      </c>
      <c r="B30" s="152" t="s">
        <v>186</v>
      </c>
      <c r="C30" s="152" t="s">
        <v>302</v>
      </c>
      <c r="D30" s="152" t="s">
        <v>560</v>
      </c>
      <c r="E30" s="152" t="s">
        <v>265</v>
      </c>
      <c r="F30" s="151"/>
      <c r="G30" s="152" t="s">
        <v>482</v>
      </c>
      <c r="H30" s="147" t="s">
        <v>569</v>
      </c>
      <c r="I30" s="127"/>
      <c r="J30" s="127"/>
      <c r="K30" s="127"/>
    </row>
    <row r="31" spans="1:11" ht="15.95" customHeight="1">
      <c r="A31" s="152" t="s">
        <v>507</v>
      </c>
      <c r="B31" s="152" t="s">
        <v>200</v>
      </c>
      <c r="C31" s="152" t="s">
        <v>255</v>
      </c>
      <c r="D31" s="152" t="s">
        <v>561</v>
      </c>
      <c r="E31" s="152" t="s">
        <v>265</v>
      </c>
      <c r="F31" s="151"/>
      <c r="G31" s="152" t="s">
        <v>208</v>
      </c>
      <c r="H31" s="147" t="s">
        <v>570</v>
      </c>
      <c r="I31" s="127"/>
      <c r="J31" s="127"/>
      <c r="K31" s="127"/>
    </row>
    <row r="32" spans="1:11" ht="15.95" customHeight="1">
      <c r="A32" s="152" t="s">
        <v>546</v>
      </c>
      <c r="B32" s="152" t="s">
        <v>200</v>
      </c>
      <c r="C32" s="152" t="s">
        <v>305</v>
      </c>
      <c r="D32" s="152" t="s">
        <v>562</v>
      </c>
      <c r="E32" s="152" t="s">
        <v>265</v>
      </c>
      <c r="F32" s="151"/>
      <c r="G32" s="152" t="s">
        <v>208</v>
      </c>
      <c r="H32" s="147" t="s">
        <v>571</v>
      </c>
      <c r="I32" s="127"/>
      <c r="J32" s="127"/>
      <c r="K32" s="127"/>
    </row>
    <row r="33" spans="1:11" ht="15.95" customHeight="1">
      <c r="A33" s="152" t="s">
        <v>183</v>
      </c>
      <c r="B33" s="152" t="s">
        <v>200</v>
      </c>
      <c r="C33" s="152" t="s">
        <v>555</v>
      </c>
      <c r="D33" s="152" t="s">
        <v>563</v>
      </c>
      <c r="E33" s="152" t="s">
        <v>265</v>
      </c>
      <c r="F33" s="151"/>
      <c r="G33" s="152" t="s">
        <v>208</v>
      </c>
      <c r="H33" s="147" t="s">
        <v>572</v>
      </c>
      <c r="I33" s="127"/>
      <c r="J33" s="127"/>
      <c r="K33" s="127"/>
    </row>
    <row r="34" spans="1:11" ht="15.95" customHeight="1">
      <c r="A34" s="152" t="s">
        <v>547</v>
      </c>
      <c r="B34" s="152" t="s">
        <v>198</v>
      </c>
      <c r="C34" s="152" t="s">
        <v>254</v>
      </c>
      <c r="D34" s="152" t="s">
        <v>564</v>
      </c>
      <c r="E34" s="152" t="s">
        <v>265</v>
      </c>
      <c r="F34" s="151"/>
      <c r="G34" s="152" t="s">
        <v>208</v>
      </c>
      <c r="H34" s="147" t="s">
        <v>573</v>
      </c>
      <c r="I34" s="127"/>
      <c r="J34" s="127"/>
      <c r="K34" s="127"/>
    </row>
    <row r="35" spans="1:11" ht="15.95" customHeight="1">
      <c r="A35" s="152" t="s">
        <v>548</v>
      </c>
      <c r="B35" s="152" t="s">
        <v>196</v>
      </c>
      <c r="C35" s="152" t="s">
        <v>556</v>
      </c>
      <c r="D35" s="152" t="s">
        <v>565</v>
      </c>
      <c r="E35" s="152" t="s">
        <v>265</v>
      </c>
      <c r="F35" s="151"/>
      <c r="G35" s="152" t="s">
        <v>208</v>
      </c>
      <c r="H35" s="147" t="s">
        <v>574</v>
      </c>
      <c r="I35" s="127"/>
      <c r="J35" s="127"/>
      <c r="K35" s="127"/>
    </row>
    <row r="36" spans="1:11" ht="15.95" customHeight="1">
      <c r="A36" s="152" t="s">
        <v>247</v>
      </c>
      <c r="B36" s="152" t="s">
        <v>252</v>
      </c>
      <c r="C36" s="152" t="s">
        <v>557</v>
      </c>
      <c r="D36" s="152" t="s">
        <v>565</v>
      </c>
      <c r="E36" s="152" t="s">
        <v>265</v>
      </c>
      <c r="F36" s="151"/>
      <c r="G36" s="152" t="s">
        <v>208</v>
      </c>
      <c r="H36" s="147" t="s">
        <v>575</v>
      </c>
      <c r="I36" s="127"/>
      <c r="J36" s="127"/>
      <c r="K36" s="127"/>
    </row>
    <row r="37" spans="1:11" ht="15.95" customHeight="1">
      <c r="A37" s="152" t="s">
        <v>549</v>
      </c>
      <c r="B37" s="152" t="s">
        <v>198</v>
      </c>
      <c r="C37" s="152" t="s">
        <v>341</v>
      </c>
      <c r="D37" s="152" t="s">
        <v>566</v>
      </c>
      <c r="E37" s="152" t="s">
        <v>266</v>
      </c>
      <c r="F37" s="152" t="s">
        <v>314</v>
      </c>
      <c r="G37" s="152" t="s">
        <v>208</v>
      </c>
      <c r="H37" s="147" t="s">
        <v>576</v>
      </c>
      <c r="I37" s="127"/>
      <c r="J37" s="127"/>
      <c r="K37" s="127"/>
    </row>
    <row r="38" spans="1:11" ht="15.95" customHeight="1">
      <c r="A38" s="152" t="s">
        <v>514</v>
      </c>
      <c r="B38" s="151"/>
      <c r="C38" s="151"/>
      <c r="D38" s="151"/>
      <c r="E38" s="151"/>
      <c r="F38" s="151"/>
      <c r="G38" s="151"/>
      <c r="H38" s="147" t="s">
        <v>577</v>
      </c>
      <c r="I38" s="127"/>
      <c r="J38" s="127"/>
      <c r="K38" s="127"/>
    </row>
    <row r="39" spans="1:11" ht="15.95" customHeight="1">
      <c r="A39" s="151"/>
      <c r="B39" s="151"/>
      <c r="C39" s="151"/>
      <c r="D39" s="151"/>
      <c r="E39" s="151"/>
      <c r="F39" s="151"/>
      <c r="G39" s="151"/>
      <c r="H39" s="147" t="s">
        <v>578</v>
      </c>
      <c r="I39" s="127"/>
      <c r="J39" s="127"/>
      <c r="K39" s="127"/>
    </row>
    <row r="40" spans="1:11" ht="15.95" customHeight="1">
      <c r="A40" s="152" t="s">
        <v>550</v>
      </c>
      <c r="B40" s="151"/>
      <c r="C40" s="151"/>
      <c r="D40" s="151"/>
      <c r="E40" s="151"/>
      <c r="F40" s="151"/>
      <c r="G40" s="151"/>
      <c r="H40" s="147" t="s">
        <v>579</v>
      </c>
      <c r="I40" s="127"/>
      <c r="J40" s="127"/>
      <c r="K40" s="127"/>
    </row>
    <row r="41" spans="1:11" ht="15.95" customHeight="1">
      <c r="A41" s="152" t="s">
        <v>551</v>
      </c>
      <c r="B41" s="152" t="s">
        <v>553</v>
      </c>
      <c r="C41" s="152" t="s">
        <v>558</v>
      </c>
      <c r="D41" s="152" t="s">
        <v>567</v>
      </c>
      <c r="E41" s="152" t="s">
        <v>266</v>
      </c>
      <c r="F41" s="152" t="s">
        <v>358</v>
      </c>
      <c r="G41" s="152" t="s">
        <v>482</v>
      </c>
      <c r="H41" s="127"/>
      <c r="I41" s="127"/>
      <c r="J41" s="127"/>
      <c r="K41" s="127"/>
    </row>
    <row r="42" spans="1:11" ht="15.95" customHeight="1">
      <c r="A42" s="152" t="s">
        <v>552</v>
      </c>
      <c r="B42" s="151"/>
      <c r="C42" s="151"/>
      <c r="D42" s="151"/>
      <c r="E42" s="151"/>
      <c r="F42" s="151"/>
      <c r="G42" s="151"/>
      <c r="H42" s="147" t="s">
        <v>580</v>
      </c>
      <c r="I42" s="127"/>
      <c r="J42" s="127"/>
      <c r="K42" s="127"/>
    </row>
    <row r="43" spans="1:11" ht="15.95" customHeight="1">
      <c r="A43" s="151"/>
      <c r="B43" s="151"/>
      <c r="C43" s="151"/>
      <c r="D43" s="151"/>
      <c r="E43" s="151"/>
      <c r="F43" s="151"/>
      <c r="G43" s="151"/>
      <c r="H43" s="127"/>
      <c r="I43" s="127"/>
      <c r="J43" s="127"/>
      <c r="K43" s="127"/>
    </row>
    <row r="44" spans="1:11" ht="15.95" customHeight="1">
      <c r="A44" s="151"/>
      <c r="B44" s="151"/>
      <c r="C44" s="151"/>
      <c r="D44" s="151"/>
      <c r="E44" s="151"/>
      <c r="F44" s="151"/>
      <c r="G44" s="151"/>
      <c r="H44" s="147" t="s">
        <v>581</v>
      </c>
      <c r="I44" s="127"/>
      <c r="J44" s="127"/>
      <c r="K44" s="127"/>
    </row>
    <row r="45" spans="1:11" ht="15.95" customHeight="1">
      <c r="A45" s="151"/>
      <c r="B45" s="151"/>
      <c r="C45" s="151"/>
      <c r="D45" s="151"/>
      <c r="E45" s="151"/>
      <c r="F45" s="151"/>
      <c r="G45" s="151"/>
      <c r="H45" s="147" t="s">
        <v>582</v>
      </c>
      <c r="I45" s="127"/>
      <c r="J45" s="127"/>
      <c r="K45" s="127"/>
    </row>
    <row r="46" spans="1:11" ht="15.95" customHeight="1">
      <c r="A46" s="151"/>
      <c r="B46" s="151"/>
      <c r="C46" s="151"/>
      <c r="D46" s="151"/>
      <c r="E46" s="151"/>
      <c r="F46" s="151"/>
      <c r="G46" s="151"/>
      <c r="H46" s="127"/>
      <c r="I46" s="127"/>
      <c r="J46" s="127"/>
      <c r="K46" s="127"/>
    </row>
    <row r="47" spans="1:11" ht="15.95" customHeight="1">
      <c r="A47" s="151"/>
      <c r="B47" s="151"/>
      <c r="C47" s="151"/>
      <c r="D47" s="151"/>
      <c r="E47" s="151"/>
      <c r="F47" s="151"/>
      <c r="G47" s="151"/>
      <c r="H47" s="127"/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3298.3</v>
      </c>
      <c r="D50" s="76" t="s">
        <v>107</v>
      </c>
      <c r="E50" s="42">
        <v>3300.5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A27" sqref="A27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121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137</v>
      </c>
      <c r="B3" s="45"/>
      <c r="C3" s="45"/>
      <c r="D3" s="45"/>
      <c r="E3" s="45"/>
      <c r="F3" s="45"/>
      <c r="G3" s="51">
        <v>0.33333333333333331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154</v>
      </c>
      <c r="B4" s="72">
        <v>6</v>
      </c>
      <c r="C4" s="48">
        <f>IF(ISBLANK(A4),"",Plan_Speed)</f>
        <v>8</v>
      </c>
      <c r="D4" s="48">
        <v>1</v>
      </c>
      <c r="E4" s="43">
        <f>IF(ISBLANK(A4),"",C4+D4)</f>
        <v>9</v>
      </c>
      <c r="F4" s="44">
        <f>IF(ISBLANK(A4),"",(B4/E4)/24)</f>
        <v>2.7777777777777776E-2</v>
      </c>
      <c r="G4" s="46">
        <f>IF(I5="G","",IF(ISBLANK(A4),"",G3+H3+F4))</f>
        <v>0.3611111111111111</v>
      </c>
      <c r="H4" s="52"/>
      <c r="I4" s="43"/>
      <c r="J4" s="46" t="str">
        <f>IF(I5="G",K5-F5-H4,"")</f>
        <v/>
      </c>
      <c r="K4" s="46"/>
    </row>
    <row r="5" spans="1:11">
      <c r="A5" s="15" t="s">
        <v>138</v>
      </c>
      <c r="B5" s="72">
        <f>48-6</f>
        <v>42</v>
      </c>
      <c r="C5" s="48">
        <f>IF(ISBLANK(A5),"",Plan_Speed)</f>
        <v>8</v>
      </c>
      <c r="D5" s="48"/>
      <c r="E5" s="43">
        <f>IF(ISBLANK(A5),"",C5+D5)</f>
        <v>8</v>
      </c>
      <c r="F5" s="44">
        <f>IF(ISBLANK(A5),"",(B5/E5)/24)</f>
        <v>0.21875</v>
      </c>
      <c r="G5" s="46">
        <f>IF(I5="G","",IF(ISBLANK(A5),"",G4+H4+F5))</f>
        <v>0.57986111111111116</v>
      </c>
      <c r="H5" s="52"/>
      <c r="I5" s="72"/>
      <c r="J5" s="73" t="str">
        <f>IF(I5="G",K5,"")</f>
        <v/>
      </c>
      <c r="K5" s="52"/>
    </row>
    <row r="6" spans="1:11">
      <c r="A6" s="83"/>
      <c r="B6" s="91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2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48</v>
      </c>
      <c r="E8" s="67" t="s">
        <v>75</v>
      </c>
      <c r="F8" s="77">
        <f>SUM(F3:F7)</f>
        <v>0.24652777777777779</v>
      </c>
      <c r="H8" t="s">
        <v>153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583</v>
      </c>
      <c r="B29" s="151"/>
      <c r="C29" s="151"/>
      <c r="D29" s="151"/>
      <c r="E29" s="151"/>
      <c r="F29" s="151"/>
      <c r="G29" s="151"/>
      <c r="H29" s="147" t="s">
        <v>598</v>
      </c>
      <c r="I29" s="127"/>
      <c r="J29" s="127"/>
      <c r="K29" s="127"/>
    </row>
    <row r="30" spans="1:11" ht="15.95" customHeight="1">
      <c r="A30" s="152" t="s">
        <v>584</v>
      </c>
      <c r="B30" s="151"/>
      <c r="C30" s="151"/>
      <c r="D30" s="151"/>
      <c r="E30" s="151"/>
      <c r="F30" s="151"/>
      <c r="G30" s="151"/>
      <c r="H30" s="147" t="s">
        <v>599</v>
      </c>
      <c r="I30" s="127"/>
      <c r="J30" s="127"/>
      <c r="K30" s="127"/>
    </row>
    <row r="31" spans="1:11" ht="15.95" customHeight="1">
      <c r="A31" s="152" t="s">
        <v>585</v>
      </c>
      <c r="B31" s="152" t="s">
        <v>199</v>
      </c>
      <c r="C31" s="152" t="s">
        <v>565</v>
      </c>
      <c r="D31" s="152" t="s">
        <v>565</v>
      </c>
      <c r="E31" s="152" t="s">
        <v>313</v>
      </c>
      <c r="F31" s="152" t="s">
        <v>314</v>
      </c>
      <c r="G31" s="152" t="s">
        <v>401</v>
      </c>
      <c r="H31" s="147" t="s">
        <v>600</v>
      </c>
      <c r="I31" s="127"/>
      <c r="J31" s="127"/>
      <c r="K31" s="127"/>
    </row>
    <row r="32" spans="1:11" ht="15.95" customHeight="1">
      <c r="A32" s="152" t="s">
        <v>544</v>
      </c>
      <c r="B32" s="152" t="s">
        <v>186</v>
      </c>
      <c r="C32" s="152" t="s">
        <v>589</v>
      </c>
      <c r="D32" s="152" t="s">
        <v>565</v>
      </c>
      <c r="E32" s="152" t="s">
        <v>265</v>
      </c>
      <c r="F32" s="151"/>
      <c r="G32" s="152" t="s">
        <v>271</v>
      </c>
      <c r="H32" s="147" t="s">
        <v>601</v>
      </c>
      <c r="I32" s="127"/>
      <c r="J32" s="127"/>
      <c r="K32" s="127"/>
    </row>
    <row r="33" spans="1:11" ht="15.95" customHeight="1">
      <c r="A33" s="152" t="s">
        <v>426</v>
      </c>
      <c r="B33" s="152" t="s">
        <v>200</v>
      </c>
      <c r="C33" s="152" t="s">
        <v>590</v>
      </c>
      <c r="D33" s="152" t="s">
        <v>591</v>
      </c>
      <c r="E33" s="152" t="s">
        <v>595</v>
      </c>
      <c r="F33" s="152" t="s">
        <v>217</v>
      </c>
      <c r="G33" s="152" t="s">
        <v>208</v>
      </c>
      <c r="H33" s="147" t="s">
        <v>602</v>
      </c>
      <c r="I33" s="127"/>
      <c r="J33" s="127"/>
      <c r="K33" s="127"/>
    </row>
    <row r="34" spans="1:11" ht="15.95" customHeight="1">
      <c r="A34" s="152" t="s">
        <v>507</v>
      </c>
      <c r="B34" s="151"/>
      <c r="C34" s="151"/>
      <c r="D34" s="151"/>
      <c r="E34" s="151"/>
      <c r="F34" s="151"/>
      <c r="G34" s="151"/>
      <c r="H34" s="147" t="s">
        <v>603</v>
      </c>
      <c r="I34" s="127"/>
      <c r="J34" s="127"/>
      <c r="K34" s="127"/>
    </row>
    <row r="35" spans="1:11" ht="15.95" customHeight="1">
      <c r="A35" s="152" t="s">
        <v>292</v>
      </c>
      <c r="B35" s="152" t="s">
        <v>196</v>
      </c>
      <c r="C35" s="152" t="s">
        <v>555</v>
      </c>
      <c r="D35" s="152" t="s">
        <v>592</v>
      </c>
      <c r="E35" s="152" t="s">
        <v>313</v>
      </c>
      <c r="F35" s="152" t="s">
        <v>596</v>
      </c>
      <c r="G35" s="152" t="s">
        <v>208</v>
      </c>
      <c r="H35" s="147" t="s">
        <v>604</v>
      </c>
      <c r="I35" s="127"/>
      <c r="J35" s="127"/>
      <c r="K35" s="127"/>
    </row>
    <row r="36" spans="1:11" ht="15.95" customHeight="1">
      <c r="A36" s="152" t="s">
        <v>586</v>
      </c>
      <c r="B36" s="152" t="s">
        <v>198</v>
      </c>
      <c r="C36" s="152" t="s">
        <v>258</v>
      </c>
      <c r="D36" s="152" t="s">
        <v>592</v>
      </c>
      <c r="E36" s="152" t="s">
        <v>313</v>
      </c>
      <c r="F36" s="152" t="s">
        <v>597</v>
      </c>
      <c r="G36" s="152" t="s">
        <v>208</v>
      </c>
      <c r="H36" s="147" t="s">
        <v>605</v>
      </c>
      <c r="I36" s="127"/>
      <c r="J36" s="127"/>
      <c r="K36" s="127"/>
    </row>
    <row r="37" spans="1:11" ht="15.95" customHeight="1">
      <c r="A37" s="152" t="s">
        <v>251</v>
      </c>
      <c r="B37" s="152" t="s">
        <v>196</v>
      </c>
      <c r="C37" s="152" t="s">
        <v>258</v>
      </c>
      <c r="D37" s="152" t="s">
        <v>593</v>
      </c>
      <c r="E37" s="152" t="s">
        <v>313</v>
      </c>
      <c r="F37" s="152" t="s">
        <v>488</v>
      </c>
      <c r="G37" s="152" t="s">
        <v>208</v>
      </c>
      <c r="H37" s="147" t="s">
        <v>606</v>
      </c>
      <c r="I37" s="127"/>
      <c r="J37" s="127"/>
      <c r="K37" s="127"/>
    </row>
    <row r="38" spans="1:11" ht="15.95" customHeight="1">
      <c r="A38" s="152" t="s">
        <v>587</v>
      </c>
      <c r="B38" s="152" t="s">
        <v>196</v>
      </c>
      <c r="C38" s="152" t="s">
        <v>304</v>
      </c>
      <c r="D38" s="152" t="s">
        <v>594</v>
      </c>
      <c r="E38" s="152" t="s">
        <v>313</v>
      </c>
      <c r="F38" s="152" t="s">
        <v>218</v>
      </c>
      <c r="G38" s="152" t="s">
        <v>208</v>
      </c>
      <c r="H38" s="147" t="s">
        <v>607</v>
      </c>
      <c r="I38" s="127"/>
      <c r="J38" s="127"/>
      <c r="K38" s="127"/>
    </row>
    <row r="39" spans="1:11" ht="15.95" customHeight="1">
      <c r="A39" s="152" t="s">
        <v>386</v>
      </c>
      <c r="B39" s="152" t="s">
        <v>565</v>
      </c>
      <c r="C39" s="152" t="s">
        <v>565</v>
      </c>
      <c r="D39" s="152" t="s">
        <v>565</v>
      </c>
      <c r="E39" s="152" t="s">
        <v>313</v>
      </c>
      <c r="F39" s="152" t="s">
        <v>218</v>
      </c>
      <c r="G39" s="152" t="s">
        <v>208</v>
      </c>
      <c r="H39" s="147" t="s">
        <v>608</v>
      </c>
      <c r="I39" s="127"/>
      <c r="J39" s="127"/>
      <c r="K39" s="127"/>
    </row>
    <row r="40" spans="1:11" ht="15.95" customHeight="1">
      <c r="A40" s="152" t="s">
        <v>387</v>
      </c>
      <c r="B40" s="151"/>
      <c r="C40" s="151"/>
      <c r="D40" s="151"/>
      <c r="E40" s="151"/>
      <c r="F40" s="151"/>
      <c r="G40" s="151"/>
      <c r="H40" s="147" t="s">
        <v>609</v>
      </c>
      <c r="I40" s="127"/>
      <c r="J40" s="127"/>
      <c r="K40" s="127"/>
    </row>
    <row r="41" spans="1:11" ht="15.95" customHeight="1">
      <c r="A41" s="151"/>
      <c r="B41" s="151"/>
      <c r="C41" s="151"/>
      <c r="D41" s="151"/>
      <c r="E41" s="151"/>
      <c r="F41" s="151"/>
      <c r="G41" s="151"/>
      <c r="H41" s="147" t="s">
        <v>610</v>
      </c>
      <c r="I41" s="127"/>
      <c r="J41" s="127"/>
      <c r="K41" s="127"/>
    </row>
    <row r="42" spans="1:11" ht="15.95" customHeight="1">
      <c r="A42" s="152" t="s">
        <v>588</v>
      </c>
      <c r="B42" s="151"/>
      <c r="C42" s="151"/>
      <c r="D42" s="151"/>
      <c r="E42" s="151"/>
      <c r="F42" s="151"/>
      <c r="G42" s="151"/>
      <c r="H42" s="147" t="s">
        <v>611</v>
      </c>
      <c r="I42" s="127"/>
      <c r="J42" s="127"/>
      <c r="K42" s="127"/>
    </row>
    <row r="43" spans="1:11" ht="15.95" customHeight="1">
      <c r="A43" s="151"/>
      <c r="B43" s="151"/>
      <c r="C43" s="151"/>
      <c r="D43" s="151"/>
      <c r="E43" s="151"/>
      <c r="F43" s="151"/>
      <c r="G43" s="151"/>
      <c r="H43" s="127"/>
      <c r="I43" s="127"/>
      <c r="J43" s="127"/>
      <c r="K43" s="127"/>
    </row>
    <row r="44" spans="1:11" ht="15.95" customHeight="1">
      <c r="A44" s="151"/>
      <c r="B44" s="151"/>
      <c r="C44" s="151"/>
      <c r="D44" s="151"/>
      <c r="E44" s="151"/>
      <c r="F44" s="151"/>
      <c r="G44" s="151"/>
      <c r="H44" s="127"/>
      <c r="I44" s="127"/>
      <c r="J44" s="127"/>
      <c r="K44" s="127"/>
    </row>
    <row r="45" spans="1:11" ht="15.95" customHeight="1">
      <c r="A45" s="151"/>
      <c r="B45" s="151"/>
      <c r="C45" s="151"/>
      <c r="D45" s="151"/>
      <c r="E45" s="151"/>
      <c r="F45" s="151"/>
      <c r="G45" s="151"/>
      <c r="H45" s="127"/>
      <c r="I45" s="127"/>
      <c r="J45" s="127"/>
      <c r="K45" s="127"/>
    </row>
    <row r="46" spans="1:11" ht="15.95" customHeight="1">
      <c r="A46" s="151"/>
      <c r="B46" s="151"/>
      <c r="C46" s="151"/>
      <c r="D46" s="151"/>
      <c r="E46" s="151"/>
      <c r="F46" s="151"/>
      <c r="G46" s="151"/>
      <c r="H46" s="127"/>
      <c r="I46" s="127"/>
      <c r="J46" s="127"/>
      <c r="K46" s="127"/>
    </row>
    <row r="47" spans="1:11" ht="15.95" customHeight="1">
      <c r="A47" s="151"/>
      <c r="B47" s="151"/>
      <c r="C47" s="151"/>
      <c r="D47" s="151"/>
      <c r="E47" s="151"/>
      <c r="F47" s="151"/>
      <c r="G47" s="151"/>
      <c r="H47" s="127"/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3304.6</v>
      </c>
      <c r="D50" s="76" t="s">
        <v>107</v>
      </c>
      <c r="E50" s="42">
        <v>3306.7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H43" sqref="H43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122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138</v>
      </c>
      <c r="B3" s="45"/>
      <c r="C3" s="45"/>
      <c r="D3" s="45"/>
      <c r="E3" s="45"/>
      <c r="F3" s="45"/>
      <c r="G3" s="51">
        <v>0.375</v>
      </c>
      <c r="H3" s="45"/>
      <c r="I3" s="45"/>
      <c r="J3" s="46">
        <f>IF(I5="G",IF(ISBLANK(A4),J4,J4-F4),"")</f>
        <v>0.41666666666666669</v>
      </c>
      <c r="K3" s="45"/>
    </row>
    <row r="4" spans="1:11">
      <c r="A4" s="15"/>
      <c r="B4" s="72"/>
      <c r="C4" s="48" t="str">
        <f>IF(ISBLANK(A4),"",Plan_Speed)</f>
        <v/>
      </c>
      <c r="D4" s="48"/>
      <c r="E4" s="43" t="str">
        <f>IF(ISBLANK(A4),"",C4+D4)</f>
        <v/>
      </c>
      <c r="F4" s="44" t="str">
        <f>IF(ISBLANK(A4),"",(B4/E4)/24)</f>
        <v/>
      </c>
      <c r="G4" s="46" t="str">
        <f>IF(I5="G","",IF(ISBLANK(A4),"",G3+H3+F4))</f>
        <v/>
      </c>
      <c r="H4" s="52"/>
      <c r="I4" s="43"/>
      <c r="J4" s="46">
        <f>IF(I5="G",K5-F5-H4,"")</f>
        <v>0.41666666666666669</v>
      </c>
      <c r="K4" s="46"/>
    </row>
    <row r="5" spans="1:11">
      <c r="A5" s="42" t="s">
        <v>155</v>
      </c>
      <c r="B5" s="48">
        <v>18</v>
      </c>
      <c r="C5" s="48">
        <f>IF(ISBLANK(A5),"",Plan_Speed)</f>
        <v>8</v>
      </c>
      <c r="D5" s="48">
        <v>1</v>
      </c>
      <c r="E5" s="43">
        <f>IF(ISBLANK(A5),"",C5+D5)</f>
        <v>9</v>
      </c>
      <c r="F5" s="44">
        <f>IF(ISBLANK(A5),"",(B5/E5)/24)</f>
        <v>8.3333333333333329E-2</v>
      </c>
      <c r="G5" s="46" t="str">
        <f>IF(I5="G","",IF(ISBLANK(A5),"",G4+H4+F5))</f>
        <v/>
      </c>
      <c r="H5" s="52"/>
      <c r="I5" s="72" t="s">
        <v>53</v>
      </c>
      <c r="J5" s="73">
        <f>IF(I5="G",K5,"")</f>
        <v>0.5</v>
      </c>
      <c r="K5" s="52">
        <v>0.5</v>
      </c>
    </row>
    <row r="6" spans="1:11">
      <c r="A6" s="15" t="s">
        <v>139</v>
      </c>
      <c r="B6" s="48">
        <v>11</v>
      </c>
      <c r="C6" s="48">
        <f>IF(ISBLANK(A6),"",Plan_Speed)</f>
        <v>8</v>
      </c>
      <c r="D6" s="48"/>
      <c r="E6" s="43">
        <f>IF(ISBLANK(A6),"",C6+D6)</f>
        <v>8</v>
      </c>
      <c r="F6" s="44">
        <f>IF(ISBLANK(A6),"",(B6/E6)/24)</f>
        <v>5.7291666666666664E-2</v>
      </c>
      <c r="G6" s="46" t="str">
        <f>IF(I5="G","",IF(ISBLANK(A6),"",G5+H5+F6))</f>
        <v/>
      </c>
      <c r="H6" s="52"/>
      <c r="I6" s="43"/>
      <c r="J6" s="46">
        <f>IF(ISBLANK(I5),"",IF(ISBLANK(A6),"",J5+H6+F6))</f>
        <v>0.55729166666666663</v>
      </c>
      <c r="K6" s="46"/>
    </row>
    <row r="7" spans="1:11">
      <c r="A7" s="41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29</v>
      </c>
      <c r="E8" s="67" t="s">
        <v>75</v>
      </c>
      <c r="F8" s="77">
        <f>SUM(F3:F7)</f>
        <v>0.140625</v>
      </c>
      <c r="H8" t="s">
        <v>156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612</v>
      </c>
      <c r="B29" s="151"/>
      <c r="C29" s="151"/>
      <c r="D29" s="151"/>
      <c r="E29" s="151"/>
      <c r="F29" s="151"/>
      <c r="G29" s="151"/>
      <c r="H29" s="147" t="s">
        <v>633</v>
      </c>
      <c r="I29" s="127"/>
      <c r="J29" s="127"/>
      <c r="K29" s="127"/>
    </row>
    <row r="30" spans="1:11" ht="15.95" customHeight="1">
      <c r="A30" s="152" t="s">
        <v>584</v>
      </c>
      <c r="B30" s="152" t="s">
        <v>186</v>
      </c>
      <c r="C30" s="152" t="s">
        <v>624</v>
      </c>
      <c r="D30" s="152" t="s">
        <v>565</v>
      </c>
      <c r="E30" s="152" t="s">
        <v>313</v>
      </c>
      <c r="F30" s="152" t="s">
        <v>487</v>
      </c>
      <c r="G30" s="152" t="s">
        <v>401</v>
      </c>
      <c r="H30" s="147" t="s">
        <v>634</v>
      </c>
      <c r="I30" s="127"/>
      <c r="J30" s="127"/>
      <c r="K30" s="127"/>
    </row>
    <row r="31" spans="1:11" ht="15.95" customHeight="1">
      <c r="A31" s="152" t="s">
        <v>613</v>
      </c>
      <c r="B31" s="152" t="s">
        <v>200</v>
      </c>
      <c r="C31" s="152" t="s">
        <v>201</v>
      </c>
      <c r="D31" s="152" t="s">
        <v>400</v>
      </c>
      <c r="E31" s="152" t="s">
        <v>265</v>
      </c>
      <c r="F31" s="151"/>
      <c r="G31" s="152" t="s">
        <v>208</v>
      </c>
      <c r="H31" s="147" t="s">
        <v>635</v>
      </c>
      <c r="I31" s="127"/>
      <c r="J31" s="127"/>
      <c r="K31" s="127"/>
    </row>
    <row r="32" spans="1:11" ht="15.95" customHeight="1">
      <c r="A32" s="152" t="s">
        <v>544</v>
      </c>
      <c r="B32" s="152" t="s">
        <v>196</v>
      </c>
      <c r="C32" s="152" t="s">
        <v>438</v>
      </c>
      <c r="D32" s="152" t="s">
        <v>628</v>
      </c>
      <c r="E32" s="152" t="s">
        <v>265</v>
      </c>
      <c r="F32" s="151"/>
      <c r="G32" s="152" t="s">
        <v>208</v>
      </c>
      <c r="H32" s="147" t="s">
        <v>636</v>
      </c>
      <c r="I32" s="127"/>
      <c r="J32" s="127"/>
      <c r="K32" s="127"/>
    </row>
    <row r="33" spans="1:11" ht="15.95" customHeight="1">
      <c r="A33" s="152" t="s">
        <v>614</v>
      </c>
      <c r="B33" s="152" t="s">
        <v>196</v>
      </c>
      <c r="C33" s="152" t="s">
        <v>625</v>
      </c>
      <c r="D33" s="152" t="s">
        <v>563</v>
      </c>
      <c r="E33" s="152" t="s">
        <v>265</v>
      </c>
      <c r="F33" s="151"/>
      <c r="G33" s="152" t="s">
        <v>208</v>
      </c>
      <c r="H33" s="147" t="s">
        <v>637</v>
      </c>
      <c r="I33" s="127"/>
      <c r="J33" s="127"/>
      <c r="K33" s="127"/>
    </row>
    <row r="34" spans="1:11" ht="15.95" customHeight="1">
      <c r="A34" s="152" t="s">
        <v>615</v>
      </c>
      <c r="B34" s="151"/>
      <c r="C34" s="152" t="s">
        <v>255</v>
      </c>
      <c r="D34" s="151"/>
      <c r="E34" s="151"/>
      <c r="F34" s="151"/>
      <c r="G34" s="151"/>
      <c r="H34" s="147" t="s">
        <v>638</v>
      </c>
      <c r="I34" s="127"/>
      <c r="J34" s="127"/>
      <c r="K34" s="127"/>
    </row>
    <row r="35" spans="1:11" ht="15.95" customHeight="1">
      <c r="A35" s="152" t="s">
        <v>616</v>
      </c>
      <c r="B35" s="152" t="s">
        <v>623</v>
      </c>
      <c r="C35" s="151"/>
      <c r="D35" s="151"/>
      <c r="E35" s="151"/>
      <c r="F35" s="151"/>
      <c r="G35" s="151"/>
      <c r="H35" s="147" t="s">
        <v>639</v>
      </c>
      <c r="I35" s="127"/>
      <c r="J35" s="127"/>
      <c r="K35" s="127"/>
    </row>
    <row r="36" spans="1:11" ht="15.95" customHeight="1">
      <c r="A36" s="152" t="s">
        <v>617</v>
      </c>
      <c r="B36" s="152" t="s">
        <v>553</v>
      </c>
      <c r="C36" s="152" t="s">
        <v>477</v>
      </c>
      <c r="D36" s="152" t="s">
        <v>565</v>
      </c>
      <c r="E36" s="152" t="s">
        <v>265</v>
      </c>
      <c r="F36" s="151"/>
      <c r="G36" s="151"/>
      <c r="H36" s="147" t="s">
        <v>640</v>
      </c>
      <c r="I36" s="127"/>
      <c r="J36" s="127"/>
      <c r="K36" s="127"/>
    </row>
    <row r="37" spans="1:11" ht="15.95" customHeight="1">
      <c r="A37" s="152" t="s">
        <v>618</v>
      </c>
      <c r="B37" s="152" t="s">
        <v>623</v>
      </c>
      <c r="C37" s="152" t="s">
        <v>201</v>
      </c>
      <c r="D37" s="152" t="s">
        <v>565</v>
      </c>
      <c r="E37" s="152" t="s">
        <v>265</v>
      </c>
      <c r="F37" s="151"/>
      <c r="G37" s="152" t="s">
        <v>208</v>
      </c>
      <c r="H37" s="147" t="s">
        <v>641</v>
      </c>
      <c r="I37" s="127"/>
      <c r="J37" s="127"/>
      <c r="K37" s="127"/>
    </row>
    <row r="38" spans="1:11" ht="15.95" customHeight="1">
      <c r="A38" s="152" t="s">
        <v>619</v>
      </c>
      <c r="B38" s="152" t="s">
        <v>200</v>
      </c>
      <c r="C38" s="152" t="s">
        <v>438</v>
      </c>
      <c r="D38" s="152" t="s">
        <v>629</v>
      </c>
      <c r="E38" s="152" t="s">
        <v>265</v>
      </c>
      <c r="F38" s="151"/>
      <c r="G38" s="152" t="s">
        <v>208</v>
      </c>
      <c r="H38" s="147" t="s">
        <v>642</v>
      </c>
      <c r="I38" s="127"/>
      <c r="J38" s="127"/>
      <c r="K38" s="127"/>
    </row>
    <row r="39" spans="1:11" ht="15.95" customHeight="1">
      <c r="A39" s="152" t="s">
        <v>428</v>
      </c>
      <c r="B39" s="152" t="s">
        <v>200</v>
      </c>
      <c r="C39" s="152" t="s">
        <v>626</v>
      </c>
      <c r="D39" s="152" t="s">
        <v>630</v>
      </c>
      <c r="E39" s="152" t="s">
        <v>632</v>
      </c>
      <c r="F39" s="152" t="s">
        <v>217</v>
      </c>
      <c r="G39" s="152" t="s">
        <v>208</v>
      </c>
      <c r="H39" s="147" t="s">
        <v>643</v>
      </c>
      <c r="I39" s="127"/>
      <c r="J39" s="127"/>
      <c r="K39" s="127"/>
    </row>
    <row r="40" spans="1:11" ht="15.95" customHeight="1">
      <c r="A40" s="152" t="s">
        <v>620</v>
      </c>
      <c r="B40" s="152" t="s">
        <v>200</v>
      </c>
      <c r="C40" s="152" t="s">
        <v>342</v>
      </c>
      <c r="D40" s="151"/>
      <c r="E40" s="152" t="s">
        <v>447</v>
      </c>
      <c r="F40" s="152" t="s">
        <v>596</v>
      </c>
      <c r="G40" s="152" t="s">
        <v>208</v>
      </c>
      <c r="H40" s="147" t="s">
        <v>644</v>
      </c>
      <c r="I40" s="127"/>
      <c r="J40" s="127"/>
      <c r="K40" s="127"/>
    </row>
    <row r="41" spans="1:11" ht="15.95" customHeight="1">
      <c r="A41" s="152" t="s">
        <v>621</v>
      </c>
      <c r="B41" s="152" t="s">
        <v>200</v>
      </c>
      <c r="C41" s="152" t="s">
        <v>627</v>
      </c>
      <c r="D41" s="152" t="s">
        <v>631</v>
      </c>
      <c r="E41" s="152" t="s">
        <v>565</v>
      </c>
      <c r="F41" s="151"/>
      <c r="G41" s="152" t="s">
        <v>208</v>
      </c>
      <c r="H41" s="147" t="s">
        <v>645</v>
      </c>
      <c r="I41" s="127"/>
      <c r="J41" s="127"/>
      <c r="K41" s="127"/>
    </row>
    <row r="42" spans="1:11" ht="15.95" customHeight="1">
      <c r="A42" s="152" t="s">
        <v>251</v>
      </c>
      <c r="B42" s="151"/>
      <c r="C42" s="151"/>
      <c r="D42" s="151"/>
      <c r="E42" s="151"/>
      <c r="F42" s="151"/>
      <c r="G42" s="151"/>
      <c r="H42" s="147" t="s">
        <v>646</v>
      </c>
      <c r="I42" s="127"/>
      <c r="J42" s="127"/>
      <c r="K42" s="127"/>
    </row>
    <row r="43" spans="1:11" ht="15.95" customHeight="1">
      <c r="A43" s="152" t="s">
        <v>622</v>
      </c>
      <c r="B43" s="151"/>
      <c r="C43" s="151"/>
      <c r="D43" s="151"/>
      <c r="E43" s="151"/>
      <c r="F43" s="151"/>
      <c r="G43" s="151"/>
      <c r="H43" s="147" t="s">
        <v>647</v>
      </c>
      <c r="I43" s="127"/>
      <c r="J43" s="127"/>
      <c r="K43" s="127"/>
    </row>
    <row r="44" spans="1:11" ht="15.95" customHeight="1">
      <c r="A44" s="151"/>
      <c r="B44" s="151"/>
      <c r="C44" s="151"/>
      <c r="D44" s="151"/>
      <c r="E44" s="151"/>
      <c r="F44" s="151"/>
      <c r="G44" s="151"/>
      <c r="H44" s="127"/>
      <c r="I44" s="127"/>
      <c r="J44" s="127"/>
      <c r="K44" s="127"/>
    </row>
    <row r="45" spans="1:11" ht="15.95" customHeight="1">
      <c r="A45" s="151"/>
      <c r="B45" s="151"/>
      <c r="C45" s="151"/>
      <c r="D45" s="151"/>
      <c r="E45" s="151"/>
      <c r="F45" s="151"/>
      <c r="G45" s="151"/>
      <c r="H45" s="127"/>
      <c r="I45" s="127"/>
      <c r="J45" s="127"/>
      <c r="K45" s="127"/>
    </row>
    <row r="46" spans="1:11" ht="15.95" customHeight="1">
      <c r="A46" s="151"/>
      <c r="B46" s="151"/>
      <c r="C46" s="151"/>
      <c r="D46" s="151"/>
      <c r="E46" s="151"/>
      <c r="F46" s="151"/>
      <c r="G46" s="151"/>
      <c r="H46" s="127"/>
      <c r="I46" s="127"/>
      <c r="J46" s="127"/>
      <c r="K46" s="127"/>
    </row>
    <row r="47" spans="1:11" ht="15.95" customHeight="1">
      <c r="A47" s="151"/>
      <c r="B47" s="151"/>
      <c r="C47" s="151"/>
      <c r="D47" s="151"/>
      <c r="E47" s="151"/>
      <c r="F47" s="151"/>
      <c r="G47" s="151"/>
      <c r="H47" s="127"/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/>
      <c r="D50" s="76" t="s">
        <v>107</v>
      </c>
      <c r="E50" s="42"/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E50" sqref="E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123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139</v>
      </c>
      <c r="B3" s="45"/>
      <c r="C3" s="45"/>
      <c r="D3" s="45"/>
      <c r="E3" s="45"/>
      <c r="F3" s="45"/>
      <c r="G3" s="51">
        <v>0.35416666666666669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140</v>
      </c>
      <c r="B4" s="72">
        <v>24</v>
      </c>
      <c r="C4" s="72">
        <f>IF(ISBLANK(A4),"",Plan_Speed)</f>
        <v>8</v>
      </c>
      <c r="D4" s="72"/>
      <c r="E4" s="112">
        <f>IF(ISBLANK(A4),"",C4+D4)</f>
        <v>8</v>
      </c>
      <c r="F4" s="90">
        <f>IF(ISBLANK(A4),"",(B4/E4)/24)</f>
        <v>0.125</v>
      </c>
      <c r="G4" s="132">
        <f>IF(I5="G","",IF(ISBLANK(A4),"",G3+H3+F4))</f>
        <v>0.47916666666666669</v>
      </c>
      <c r="H4" s="133"/>
      <c r="I4" s="112"/>
      <c r="J4" s="132" t="str">
        <f>IF(I5="G",K5-F5-H4,"")</f>
        <v/>
      </c>
      <c r="K4" s="132"/>
    </row>
    <row r="5" spans="1:11">
      <c r="A5" s="83"/>
      <c r="B5" s="91"/>
      <c r="C5" s="72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1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24</v>
      </c>
      <c r="E8" s="67" t="s">
        <v>75</v>
      </c>
      <c r="F8" s="77">
        <f>SUM(F3:F7)</f>
        <v>0.125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293</v>
      </c>
      <c r="B29" s="151"/>
      <c r="C29" s="151"/>
      <c r="D29" s="151"/>
      <c r="E29" s="152" t="s">
        <v>265</v>
      </c>
      <c r="F29" s="151"/>
      <c r="G29" s="151"/>
      <c r="H29" s="147" t="s">
        <v>660</v>
      </c>
      <c r="I29" s="127"/>
      <c r="J29" s="127"/>
      <c r="K29" s="127"/>
    </row>
    <row r="30" spans="1:11" ht="15.95" customHeight="1">
      <c r="A30" s="152" t="s">
        <v>649</v>
      </c>
      <c r="B30" s="152" t="s">
        <v>186</v>
      </c>
      <c r="C30" s="152" t="s">
        <v>655</v>
      </c>
      <c r="D30" s="152" t="s">
        <v>562</v>
      </c>
      <c r="E30" s="152" t="s">
        <v>266</v>
      </c>
      <c r="F30" s="152" t="s">
        <v>314</v>
      </c>
      <c r="G30" s="152" t="s">
        <v>482</v>
      </c>
      <c r="H30" s="127"/>
      <c r="I30" s="127"/>
      <c r="J30" s="127"/>
      <c r="K30" s="127"/>
    </row>
    <row r="31" spans="1:11" ht="15.95" customHeight="1">
      <c r="A31" s="152" t="s">
        <v>650</v>
      </c>
      <c r="B31" s="152" t="s">
        <v>200</v>
      </c>
      <c r="C31" s="152" t="s">
        <v>253</v>
      </c>
      <c r="D31" s="152" t="s">
        <v>484</v>
      </c>
      <c r="E31" s="152" t="s">
        <v>355</v>
      </c>
      <c r="F31" s="152" t="s">
        <v>659</v>
      </c>
      <c r="G31" s="152" t="s">
        <v>208</v>
      </c>
      <c r="H31" s="147" t="s">
        <v>661</v>
      </c>
      <c r="I31" s="127"/>
      <c r="J31" s="127"/>
      <c r="K31" s="127"/>
    </row>
    <row r="32" spans="1:11" ht="15.95" customHeight="1">
      <c r="A32" s="152" t="s">
        <v>326</v>
      </c>
      <c r="B32" s="152" t="s">
        <v>200</v>
      </c>
      <c r="C32" s="152" t="s">
        <v>201</v>
      </c>
      <c r="D32" s="152" t="s">
        <v>567</v>
      </c>
      <c r="E32" s="152" t="s">
        <v>355</v>
      </c>
      <c r="F32" s="152" t="s">
        <v>314</v>
      </c>
      <c r="G32" s="152" t="s">
        <v>208</v>
      </c>
      <c r="H32" s="147" t="s">
        <v>662</v>
      </c>
      <c r="I32" s="127"/>
      <c r="J32" s="127"/>
      <c r="K32" s="127"/>
    </row>
    <row r="33" spans="1:11" ht="15.95" customHeight="1">
      <c r="A33" s="152" t="s">
        <v>186</v>
      </c>
      <c r="B33" s="152" t="s">
        <v>200</v>
      </c>
      <c r="C33" s="152" t="s">
        <v>624</v>
      </c>
      <c r="D33" s="152" t="s">
        <v>656</v>
      </c>
      <c r="E33" s="152" t="s">
        <v>355</v>
      </c>
      <c r="F33" s="152" t="s">
        <v>314</v>
      </c>
      <c r="G33" s="152" t="s">
        <v>208</v>
      </c>
      <c r="H33" s="147" t="s">
        <v>663</v>
      </c>
      <c r="I33" s="127"/>
      <c r="J33" s="127"/>
      <c r="K33" s="127"/>
    </row>
    <row r="34" spans="1:11" ht="15.95" customHeight="1">
      <c r="A34" s="152" t="s">
        <v>651</v>
      </c>
      <c r="B34" s="151"/>
      <c r="C34" s="151"/>
      <c r="D34" s="151"/>
      <c r="E34" s="152" t="s">
        <v>666</v>
      </c>
      <c r="F34" s="151"/>
      <c r="G34" s="151"/>
      <c r="H34" s="147" t="s">
        <v>665</v>
      </c>
      <c r="I34" s="127"/>
      <c r="J34" s="127"/>
      <c r="K34" s="127"/>
    </row>
    <row r="35" spans="1:11" ht="15.95" customHeight="1">
      <c r="A35" s="152" t="s">
        <v>652</v>
      </c>
      <c r="B35" s="151"/>
      <c r="C35" s="151"/>
      <c r="D35" s="151"/>
      <c r="E35" s="151"/>
      <c r="F35" s="151"/>
      <c r="G35" s="151"/>
      <c r="H35" s="147" t="s">
        <v>664</v>
      </c>
      <c r="I35" s="127"/>
      <c r="J35" s="127"/>
      <c r="K35" s="127"/>
    </row>
    <row r="36" spans="1:11" ht="15.95" customHeight="1">
      <c r="A36" s="152" t="s">
        <v>515</v>
      </c>
      <c r="B36" s="152" t="s">
        <v>200</v>
      </c>
      <c r="C36" s="152" t="s">
        <v>624</v>
      </c>
      <c r="D36" s="152" t="s">
        <v>657</v>
      </c>
      <c r="E36" s="152" t="s">
        <v>355</v>
      </c>
      <c r="F36" s="152" t="s">
        <v>448</v>
      </c>
      <c r="G36" s="152" t="s">
        <v>208</v>
      </c>
      <c r="H36" s="147" t="s">
        <v>667</v>
      </c>
      <c r="I36" s="127"/>
      <c r="J36" s="127"/>
      <c r="K36" s="127"/>
    </row>
    <row r="37" spans="1:11" ht="15.95" customHeight="1">
      <c r="A37" s="152" t="s">
        <v>653</v>
      </c>
      <c r="B37" s="152" t="s">
        <v>200</v>
      </c>
      <c r="C37" s="152" t="s">
        <v>343</v>
      </c>
      <c r="D37" s="152" t="s">
        <v>658</v>
      </c>
      <c r="E37" s="152" t="s">
        <v>355</v>
      </c>
      <c r="F37" s="152" t="s">
        <v>448</v>
      </c>
      <c r="G37" s="152" t="s">
        <v>208</v>
      </c>
      <c r="H37" s="147" t="s">
        <v>668</v>
      </c>
      <c r="I37" s="127"/>
      <c r="J37" s="127"/>
      <c r="K37" s="127"/>
    </row>
    <row r="38" spans="1:11" ht="15.95" customHeight="1">
      <c r="A38" s="152" t="s">
        <v>654</v>
      </c>
      <c r="B38" s="151"/>
      <c r="C38" s="152" t="s">
        <v>565</v>
      </c>
      <c r="D38" s="152" t="s">
        <v>565</v>
      </c>
      <c r="E38" s="151"/>
      <c r="F38" s="151"/>
      <c r="G38" s="151"/>
      <c r="H38" s="147" t="s">
        <v>669</v>
      </c>
      <c r="I38" s="127"/>
      <c r="J38" s="127"/>
      <c r="K38" s="127"/>
    </row>
    <row r="39" spans="1:11" ht="15.95" customHeight="1">
      <c r="A39" s="152" t="s">
        <v>193</v>
      </c>
      <c r="B39" s="151"/>
      <c r="C39" s="151"/>
      <c r="D39" s="151"/>
      <c r="E39" s="151"/>
      <c r="F39" s="151"/>
      <c r="G39" s="151"/>
      <c r="H39" s="147" t="s">
        <v>670</v>
      </c>
      <c r="I39" s="127"/>
      <c r="J39" s="127"/>
      <c r="K39" s="127"/>
    </row>
    <row r="40" spans="1:11" ht="15.95" customHeight="1">
      <c r="A40" s="151"/>
      <c r="B40" s="151"/>
      <c r="C40" s="151"/>
      <c r="D40" s="151"/>
      <c r="E40" s="151"/>
      <c r="F40" s="151"/>
      <c r="G40" s="151"/>
      <c r="H40" s="127"/>
      <c r="I40" s="127"/>
      <c r="J40" s="127"/>
      <c r="K40" s="127"/>
    </row>
    <row r="41" spans="1:11" ht="15.95" customHeight="1">
      <c r="A41" s="151"/>
      <c r="B41" s="151"/>
      <c r="C41" s="151"/>
      <c r="D41" s="151"/>
      <c r="E41" s="151"/>
      <c r="F41" s="151"/>
      <c r="G41" s="151"/>
      <c r="H41" s="127"/>
      <c r="I41" s="127"/>
      <c r="J41" s="127"/>
      <c r="K41" s="127"/>
    </row>
    <row r="42" spans="1:11" ht="15.95" customHeight="1">
      <c r="A42" s="151"/>
      <c r="B42" s="151"/>
      <c r="C42" s="151"/>
      <c r="D42" s="151"/>
      <c r="E42" s="151"/>
      <c r="F42" s="151"/>
      <c r="G42" s="151"/>
      <c r="H42" s="147" t="s">
        <v>671</v>
      </c>
      <c r="I42" s="127"/>
      <c r="J42" s="127"/>
      <c r="K42" s="127"/>
    </row>
    <row r="43" spans="1:11" ht="15.95" customHeight="1">
      <c r="A43" s="151"/>
      <c r="B43" s="151"/>
      <c r="C43" s="151"/>
      <c r="D43" s="151"/>
      <c r="E43" s="151"/>
      <c r="F43" s="151"/>
      <c r="G43" s="151"/>
      <c r="H43" s="127"/>
      <c r="I43" s="127"/>
      <c r="J43" s="127"/>
      <c r="K43" s="127"/>
    </row>
    <row r="44" spans="1:11" ht="15.95" customHeight="1">
      <c r="A44" s="151"/>
      <c r="B44" s="151"/>
      <c r="C44" s="151"/>
      <c r="D44" s="151"/>
      <c r="E44" s="151"/>
      <c r="F44" s="151"/>
      <c r="G44" s="151"/>
      <c r="H44" s="127"/>
      <c r="I44" s="127"/>
      <c r="J44" s="127"/>
      <c r="K44" s="127"/>
    </row>
    <row r="45" spans="1:11" ht="15.95" customHeight="1">
      <c r="A45" s="151"/>
      <c r="B45" s="151"/>
      <c r="C45" s="151"/>
      <c r="D45" s="151"/>
      <c r="E45" s="151"/>
      <c r="F45" s="151"/>
      <c r="G45" s="151"/>
      <c r="H45" s="127"/>
      <c r="I45" s="127"/>
      <c r="J45" s="127"/>
      <c r="K45" s="127"/>
    </row>
    <row r="46" spans="1:11" ht="15.95" customHeight="1">
      <c r="A46" s="151"/>
      <c r="B46" s="151"/>
      <c r="C46" s="151"/>
      <c r="D46" s="151"/>
      <c r="E46" s="151"/>
      <c r="F46" s="151"/>
      <c r="G46" s="151"/>
      <c r="H46" s="127"/>
      <c r="I46" s="127"/>
      <c r="J46" s="127"/>
      <c r="K46" s="127"/>
    </row>
    <row r="47" spans="1:11" ht="15.95" customHeight="1">
      <c r="A47" s="151"/>
      <c r="B47" s="151"/>
      <c r="C47" s="151"/>
      <c r="D47" s="151"/>
      <c r="E47" s="151"/>
      <c r="F47" s="151"/>
      <c r="G47" s="151"/>
      <c r="H47" s="127"/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3312.8</v>
      </c>
      <c r="D50" s="76" t="s">
        <v>107</v>
      </c>
      <c r="E50" s="42">
        <v>3314.8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E50" sqref="E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124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140</v>
      </c>
      <c r="B3" s="45"/>
      <c r="C3" s="45"/>
      <c r="D3" s="45"/>
      <c r="E3" s="45"/>
      <c r="F3" s="45"/>
      <c r="G3" s="51">
        <v>0.375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141</v>
      </c>
      <c r="B4" s="48">
        <v>16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8.3333333333333329E-2</v>
      </c>
      <c r="G4" s="46">
        <f>IF(I5="G","",IF(ISBLANK(A4),"",G3+H3+F4))</f>
        <v>0.45833333333333331</v>
      </c>
      <c r="H4" s="52"/>
      <c r="I4" s="43"/>
      <c r="J4" s="46" t="str">
        <f>IF(I5="G",K5-F5-H4,"")</f>
        <v/>
      </c>
      <c r="K4" s="46"/>
    </row>
    <row r="5" spans="1:11">
      <c r="A5" s="42"/>
      <c r="B5" s="48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1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16</v>
      </c>
      <c r="E8" s="67" t="s">
        <v>75</v>
      </c>
      <c r="F8" s="77">
        <f>SUM(F3:F7)</f>
        <v>8.3333333333333329E-2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672</v>
      </c>
      <c r="B29" s="151"/>
      <c r="C29" s="151"/>
      <c r="D29" s="151"/>
      <c r="E29" s="151"/>
      <c r="F29" s="151"/>
      <c r="G29" s="151"/>
      <c r="H29" s="147" t="s">
        <v>689</v>
      </c>
      <c r="I29" s="127"/>
      <c r="J29" s="127"/>
      <c r="K29" s="127"/>
    </row>
    <row r="30" spans="1:11" ht="15.95" customHeight="1">
      <c r="A30" s="152" t="s">
        <v>244</v>
      </c>
      <c r="B30" s="152" t="s">
        <v>186</v>
      </c>
      <c r="C30" s="152" t="s">
        <v>679</v>
      </c>
      <c r="D30" s="152" t="s">
        <v>565</v>
      </c>
      <c r="E30" s="152" t="s">
        <v>266</v>
      </c>
      <c r="F30" s="152" t="s">
        <v>487</v>
      </c>
      <c r="G30" s="152" t="s">
        <v>687</v>
      </c>
      <c r="H30" s="147" t="s">
        <v>690</v>
      </c>
      <c r="I30" s="127"/>
      <c r="J30" s="127"/>
      <c r="K30" s="127"/>
    </row>
    <row r="31" spans="1:11" ht="15.95" customHeight="1">
      <c r="A31" s="152" t="s">
        <v>507</v>
      </c>
      <c r="B31" s="152" t="s">
        <v>200</v>
      </c>
      <c r="C31" s="152" t="s">
        <v>202</v>
      </c>
      <c r="D31" s="152" t="s">
        <v>681</v>
      </c>
      <c r="E31" s="152" t="s">
        <v>265</v>
      </c>
      <c r="F31" s="151"/>
      <c r="G31" s="152" t="s">
        <v>208</v>
      </c>
      <c r="H31" s="147" t="s">
        <v>691</v>
      </c>
      <c r="I31" s="127"/>
      <c r="J31" s="127"/>
      <c r="K31" s="127"/>
    </row>
    <row r="32" spans="1:11" ht="15.95" customHeight="1">
      <c r="A32" s="152" t="s">
        <v>673</v>
      </c>
      <c r="B32" s="152" t="s">
        <v>200</v>
      </c>
      <c r="C32" s="152" t="s">
        <v>301</v>
      </c>
      <c r="D32" s="152" t="s">
        <v>682</v>
      </c>
      <c r="E32" s="152" t="s">
        <v>685</v>
      </c>
      <c r="F32" s="151"/>
      <c r="G32" s="152" t="s">
        <v>208</v>
      </c>
      <c r="H32" s="147" t="s">
        <v>692</v>
      </c>
      <c r="I32" s="127"/>
      <c r="J32" s="127"/>
      <c r="K32" s="127"/>
    </row>
    <row r="33" spans="1:11" ht="15.95" customHeight="1">
      <c r="A33" s="152" t="s">
        <v>618</v>
      </c>
      <c r="B33" s="152" t="s">
        <v>200</v>
      </c>
      <c r="C33" s="152" t="s">
        <v>625</v>
      </c>
      <c r="D33" s="152" t="s">
        <v>683</v>
      </c>
      <c r="E33" s="152" t="s">
        <v>685</v>
      </c>
      <c r="F33" s="151"/>
      <c r="G33" s="152" t="s">
        <v>208</v>
      </c>
      <c r="H33" s="147" t="s">
        <v>693</v>
      </c>
      <c r="I33" s="127"/>
      <c r="J33" s="127"/>
      <c r="K33" s="127"/>
    </row>
    <row r="34" spans="1:11" ht="15.95" customHeight="1">
      <c r="A34" s="152" t="s">
        <v>674</v>
      </c>
      <c r="B34" s="151"/>
      <c r="C34" s="151"/>
      <c r="D34" s="152" t="s">
        <v>684</v>
      </c>
      <c r="E34" s="151"/>
      <c r="F34" s="152" t="s">
        <v>686</v>
      </c>
      <c r="G34" s="151"/>
      <c r="H34" s="147" t="s">
        <v>694</v>
      </c>
      <c r="I34" s="127"/>
      <c r="J34" s="127"/>
      <c r="K34" s="127"/>
    </row>
    <row r="35" spans="1:11" ht="15.95" customHeight="1">
      <c r="A35" s="152" t="s">
        <v>329</v>
      </c>
      <c r="B35" s="151"/>
      <c r="C35" s="151"/>
      <c r="D35" s="151"/>
      <c r="E35" s="151"/>
      <c r="F35" s="151"/>
      <c r="G35" s="151"/>
      <c r="H35" s="147" t="s">
        <v>695</v>
      </c>
      <c r="I35" s="127"/>
      <c r="J35" s="127"/>
      <c r="K35" s="127"/>
    </row>
    <row r="36" spans="1:11" ht="15.95" customHeight="1">
      <c r="A36" s="152" t="s">
        <v>675</v>
      </c>
      <c r="B36" s="152" t="s">
        <v>200</v>
      </c>
      <c r="C36" s="152" t="s">
        <v>680</v>
      </c>
      <c r="D36" s="152" t="s">
        <v>471</v>
      </c>
      <c r="E36" s="152" t="s">
        <v>265</v>
      </c>
      <c r="F36" s="151"/>
      <c r="G36" s="151"/>
      <c r="H36" s="147" t="s">
        <v>696</v>
      </c>
      <c r="I36" s="127"/>
      <c r="J36" s="127"/>
      <c r="K36" s="127"/>
    </row>
    <row r="37" spans="1:11" ht="15.95" customHeight="1">
      <c r="A37" s="152" t="s">
        <v>676</v>
      </c>
      <c r="B37" s="151"/>
      <c r="C37" s="151"/>
      <c r="D37" s="151"/>
      <c r="E37" s="151"/>
      <c r="F37" s="151"/>
      <c r="G37" s="151"/>
      <c r="H37" s="147" t="s">
        <v>697</v>
      </c>
      <c r="I37" s="127"/>
      <c r="J37" s="127"/>
      <c r="K37" s="127"/>
    </row>
    <row r="38" spans="1:11" ht="15.95" customHeight="1">
      <c r="A38" s="152" t="s">
        <v>677</v>
      </c>
      <c r="B38" s="152" t="s">
        <v>200</v>
      </c>
      <c r="C38" s="152" t="s">
        <v>565</v>
      </c>
      <c r="D38" s="152" t="s">
        <v>565</v>
      </c>
      <c r="E38" s="152" t="s">
        <v>265</v>
      </c>
      <c r="F38" s="152" t="s">
        <v>688</v>
      </c>
      <c r="G38" s="152" t="s">
        <v>208</v>
      </c>
      <c r="H38" s="147" t="s">
        <v>698</v>
      </c>
      <c r="I38" s="127"/>
      <c r="J38" s="127"/>
      <c r="K38" s="127"/>
    </row>
    <row r="39" spans="1:11" ht="15.95" customHeight="1">
      <c r="A39" s="152" t="s">
        <v>678</v>
      </c>
      <c r="B39" s="151"/>
      <c r="C39" s="151"/>
      <c r="D39" s="151"/>
      <c r="E39" s="151"/>
      <c r="F39" s="151"/>
      <c r="G39" s="151"/>
      <c r="H39" s="147" t="s">
        <v>699</v>
      </c>
      <c r="I39" s="127"/>
      <c r="J39" s="127"/>
      <c r="K39" s="127"/>
    </row>
    <row r="40" spans="1:11" ht="15.95" customHeight="1">
      <c r="A40" s="152" t="s">
        <v>334</v>
      </c>
      <c r="B40" s="151"/>
      <c r="C40" s="151"/>
      <c r="D40" s="151"/>
      <c r="E40" s="151"/>
      <c r="F40" s="152" t="s">
        <v>701</v>
      </c>
      <c r="G40" s="151"/>
      <c r="H40" s="147" t="s">
        <v>700</v>
      </c>
      <c r="I40" s="127"/>
      <c r="J40" s="127"/>
      <c r="K40" s="127"/>
    </row>
    <row r="41" spans="1:11" ht="15.95" customHeight="1">
      <c r="A41" s="151"/>
      <c r="B41" s="151"/>
      <c r="C41" s="151"/>
      <c r="D41" s="151"/>
      <c r="E41" s="151"/>
      <c r="F41" s="151"/>
      <c r="G41" s="151"/>
      <c r="H41" s="127"/>
      <c r="I41" s="127"/>
      <c r="J41" s="127"/>
      <c r="K41" s="127"/>
    </row>
    <row r="42" spans="1:11" ht="15.95" customHeight="1">
      <c r="A42" s="151"/>
      <c r="B42" s="151"/>
      <c r="C42" s="151"/>
      <c r="D42" s="151"/>
      <c r="E42" s="151"/>
      <c r="F42" s="151"/>
      <c r="G42" s="151"/>
      <c r="H42" s="147" t="s">
        <v>702</v>
      </c>
      <c r="I42" s="127"/>
      <c r="J42" s="127"/>
      <c r="K42" s="127"/>
    </row>
    <row r="43" spans="1:11" ht="15.95" customHeight="1">
      <c r="A43" s="151"/>
      <c r="B43" s="151"/>
      <c r="C43" s="151"/>
      <c r="D43" s="151"/>
      <c r="E43" s="151"/>
      <c r="F43" s="151"/>
      <c r="G43" s="151"/>
      <c r="H43" s="127"/>
      <c r="I43" s="127"/>
      <c r="J43" s="127"/>
      <c r="K43" s="127"/>
    </row>
    <row r="44" spans="1:11" ht="15.95" customHeight="1">
      <c r="A44" s="151"/>
      <c r="B44" s="151"/>
      <c r="C44" s="151"/>
      <c r="D44" s="151"/>
      <c r="E44" s="151"/>
      <c r="F44" s="151"/>
      <c r="G44" s="151"/>
      <c r="H44" s="127"/>
      <c r="I44" s="127"/>
      <c r="J44" s="127"/>
      <c r="K44" s="127"/>
    </row>
    <row r="45" spans="1:11" ht="15.95" customHeight="1">
      <c r="A45" s="151"/>
      <c r="B45" s="151"/>
      <c r="C45" s="151"/>
      <c r="D45" s="151"/>
      <c r="E45" s="151"/>
      <c r="F45" s="151"/>
      <c r="G45" s="151"/>
      <c r="H45" s="127"/>
      <c r="I45" s="127"/>
      <c r="J45" s="127"/>
      <c r="K45" s="127"/>
    </row>
    <row r="46" spans="1:11" ht="15.95" customHeight="1">
      <c r="A46" s="151"/>
      <c r="B46" s="151"/>
      <c r="C46" s="151"/>
      <c r="D46" s="151"/>
      <c r="E46" s="151"/>
      <c r="F46" s="151"/>
      <c r="G46" s="151"/>
      <c r="H46" s="127"/>
      <c r="I46" s="127"/>
      <c r="J46" s="127"/>
      <c r="K46" s="127"/>
    </row>
    <row r="47" spans="1:11" ht="15.95" customHeight="1">
      <c r="A47" s="151"/>
      <c r="B47" s="151"/>
      <c r="C47" s="151"/>
      <c r="D47" s="151"/>
      <c r="E47" s="151"/>
      <c r="F47" s="151"/>
      <c r="G47" s="151"/>
      <c r="H47" s="127"/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3316.4</v>
      </c>
      <c r="D50" s="76" t="s">
        <v>107</v>
      </c>
      <c r="E50" s="42">
        <v>3318.6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1"/>
  <sheetViews>
    <sheetView topLeftCell="A12" workbookViewId="0">
      <selection activeCell="F13" sqref="F13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125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141</v>
      </c>
      <c r="B3" s="45"/>
      <c r="C3" s="45"/>
      <c r="D3" s="45"/>
      <c r="E3" s="45"/>
      <c r="F3" s="45"/>
      <c r="G3" s="51">
        <v>0.39583333333333331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139</v>
      </c>
      <c r="B4" s="48">
        <v>35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0.18229166666666666</v>
      </c>
      <c r="G4" s="46">
        <f>IF(I5="G","",IF(ISBLANK(A4),"",G3+H3+F4))</f>
        <v>0.578125</v>
      </c>
      <c r="H4" s="52"/>
      <c r="I4" s="43"/>
      <c r="J4" s="46" t="str">
        <f>IF(I5="G",K5-F5-H4,"")</f>
        <v/>
      </c>
      <c r="K4" s="46"/>
    </row>
    <row r="5" spans="1:11">
      <c r="A5" s="83"/>
      <c r="B5" s="91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2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35</v>
      </c>
      <c r="E8" s="67" t="s">
        <v>75</v>
      </c>
      <c r="F8" s="77">
        <f>SUM(F3:F7)</f>
        <v>0.18229166666666666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  <c r="G13" s="14" t="s">
        <v>742</v>
      </c>
    </row>
    <row r="14" spans="1:11">
      <c r="A14" s="120"/>
      <c r="B14" s="128"/>
      <c r="C14" s="128"/>
      <c r="D14" s="128"/>
      <c r="E14" s="122"/>
      <c r="F14" s="121"/>
      <c r="G14" s="14" t="s">
        <v>743</v>
      </c>
    </row>
    <row r="15" spans="1:11">
      <c r="A15" s="21"/>
      <c r="B15" s="16"/>
      <c r="C15" s="16"/>
      <c r="D15" s="16"/>
      <c r="E15" s="16"/>
      <c r="F15" s="22"/>
      <c r="G15" s="14" t="s">
        <v>744</v>
      </c>
    </row>
    <row r="16" spans="1:11">
      <c r="A16" s="129"/>
      <c r="B16" s="122"/>
      <c r="C16" s="122"/>
      <c r="D16" s="122"/>
      <c r="E16" s="122"/>
      <c r="F16" s="121"/>
      <c r="G16" s="14" t="s">
        <v>745</v>
      </c>
    </row>
    <row r="17" spans="1:11">
      <c r="A17" s="21"/>
      <c r="B17" s="16"/>
      <c r="C17" s="16"/>
      <c r="D17" s="16"/>
      <c r="E17" s="16"/>
      <c r="F17" s="22"/>
      <c r="G17" s="14" t="s">
        <v>746</v>
      </c>
    </row>
    <row r="18" spans="1:11">
      <c r="A18" s="129"/>
      <c r="B18" s="122"/>
      <c r="C18" s="122"/>
      <c r="D18" s="122"/>
      <c r="E18" s="122"/>
      <c r="F18" s="121"/>
      <c r="G18" s="14" t="s">
        <v>747</v>
      </c>
    </row>
    <row r="19" spans="1:11">
      <c r="A19" s="21"/>
      <c r="B19" s="16"/>
      <c r="C19" s="16"/>
      <c r="D19" s="16"/>
      <c r="E19" s="16"/>
      <c r="F19" s="22"/>
      <c r="G19" s="14" t="s">
        <v>748</v>
      </c>
    </row>
    <row r="20" spans="1:11">
      <c r="A20" s="129"/>
      <c r="B20" s="122"/>
      <c r="C20" s="122"/>
      <c r="D20" s="122"/>
      <c r="E20" s="122"/>
      <c r="F20" s="121"/>
      <c r="G20" s="36" t="s">
        <v>749</v>
      </c>
    </row>
    <row r="21" spans="1:11">
      <c r="A21" s="21"/>
      <c r="B21" s="16"/>
      <c r="C21" s="16"/>
      <c r="D21" s="16"/>
      <c r="E21" s="16"/>
      <c r="F21" s="22"/>
      <c r="G21" s="75" t="s">
        <v>750</v>
      </c>
    </row>
    <row r="22" spans="1:11">
      <c r="A22" s="129"/>
      <c r="B22" s="122"/>
      <c r="C22" s="122"/>
      <c r="D22" s="122"/>
      <c r="E22" s="122"/>
      <c r="F22" s="121"/>
      <c r="G22" s="75" t="s">
        <v>752</v>
      </c>
    </row>
    <row r="23" spans="1:11">
      <c r="A23" s="21"/>
      <c r="B23" s="16"/>
      <c r="C23" s="16"/>
      <c r="D23" s="16"/>
      <c r="E23" s="16"/>
      <c r="F23" s="22"/>
      <c r="G23" t="s">
        <v>751</v>
      </c>
    </row>
    <row r="24" spans="1:11">
      <c r="A24" s="129"/>
      <c r="B24" s="122"/>
      <c r="C24" s="122"/>
      <c r="D24" s="122"/>
      <c r="E24" s="122"/>
      <c r="F24" s="121"/>
      <c r="G24" s="14" t="s">
        <v>753</v>
      </c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707</v>
      </c>
      <c r="B29" s="151"/>
      <c r="C29" s="151"/>
      <c r="D29" s="151"/>
      <c r="E29" s="152" t="s">
        <v>265</v>
      </c>
      <c r="F29" s="151"/>
      <c r="G29" s="151"/>
      <c r="H29" s="147" t="s">
        <v>728</v>
      </c>
      <c r="I29" s="127"/>
      <c r="J29" s="127"/>
      <c r="K29" s="127"/>
    </row>
    <row r="30" spans="1:11" ht="15.95" customHeight="1">
      <c r="A30" s="152" t="s">
        <v>708</v>
      </c>
      <c r="B30" s="152" t="s">
        <v>186</v>
      </c>
      <c r="C30" s="152" t="s">
        <v>721</v>
      </c>
      <c r="D30" s="152" t="s">
        <v>723</v>
      </c>
      <c r="E30" s="152" t="s">
        <v>265</v>
      </c>
      <c r="F30" s="151"/>
      <c r="G30" s="152" t="s">
        <v>401</v>
      </c>
      <c r="H30" s="147" t="s">
        <v>729</v>
      </c>
      <c r="I30" s="127"/>
      <c r="J30" s="127"/>
      <c r="K30" s="127"/>
    </row>
    <row r="31" spans="1:11" ht="15.95" customHeight="1">
      <c r="A31" s="152" t="s">
        <v>709</v>
      </c>
      <c r="B31" s="152" t="s">
        <v>200</v>
      </c>
      <c r="C31" s="152" t="s">
        <v>341</v>
      </c>
      <c r="D31" s="152" t="s">
        <v>723</v>
      </c>
      <c r="E31" s="152" t="s">
        <v>265</v>
      </c>
      <c r="F31" s="151"/>
      <c r="G31" s="152" t="s">
        <v>271</v>
      </c>
      <c r="H31" s="147" t="s">
        <v>729</v>
      </c>
      <c r="I31" s="127"/>
      <c r="J31" s="127"/>
      <c r="K31" s="127"/>
    </row>
    <row r="32" spans="1:11" ht="15.95" customHeight="1">
      <c r="A32" s="152" t="s">
        <v>649</v>
      </c>
      <c r="B32" s="152" t="s">
        <v>200</v>
      </c>
      <c r="C32" s="152" t="s">
        <v>624</v>
      </c>
      <c r="D32" s="152" t="s">
        <v>724</v>
      </c>
      <c r="E32" s="152" t="s">
        <v>265</v>
      </c>
      <c r="F32" s="151"/>
      <c r="G32" s="152" t="s">
        <v>208</v>
      </c>
      <c r="H32" s="147" t="s">
        <v>730</v>
      </c>
      <c r="I32" s="127"/>
      <c r="J32" s="127"/>
      <c r="K32" s="127"/>
    </row>
    <row r="33" spans="1:11" ht="15.95" customHeight="1">
      <c r="A33" s="152" t="s">
        <v>710</v>
      </c>
      <c r="B33" s="152" t="s">
        <v>200</v>
      </c>
      <c r="C33" s="152" t="s">
        <v>722</v>
      </c>
      <c r="D33" s="152" t="s">
        <v>444</v>
      </c>
      <c r="E33" s="152" t="s">
        <v>265</v>
      </c>
      <c r="F33" s="151"/>
      <c r="G33" s="152" t="s">
        <v>208</v>
      </c>
      <c r="H33" s="127"/>
      <c r="I33" s="127"/>
      <c r="J33" s="127"/>
      <c r="K33" s="127"/>
    </row>
    <row r="34" spans="1:11" ht="15.95" customHeight="1">
      <c r="A34" s="152" t="s">
        <v>711</v>
      </c>
      <c r="B34" s="152" t="s">
        <v>200</v>
      </c>
      <c r="C34" s="152" t="s">
        <v>341</v>
      </c>
      <c r="D34" s="152" t="s">
        <v>725</v>
      </c>
      <c r="E34" s="152" t="s">
        <v>265</v>
      </c>
      <c r="F34" s="151"/>
      <c r="G34" s="152" t="s">
        <v>208</v>
      </c>
      <c r="H34" s="147" t="s">
        <v>731</v>
      </c>
      <c r="I34" s="127"/>
      <c r="J34" s="127"/>
      <c r="K34" s="127"/>
    </row>
    <row r="35" spans="1:11" ht="15.95" customHeight="1">
      <c r="A35" s="152" t="s">
        <v>712</v>
      </c>
      <c r="B35" s="152" t="s">
        <v>200</v>
      </c>
      <c r="C35" s="152" t="s">
        <v>624</v>
      </c>
      <c r="D35" s="152" t="s">
        <v>726</v>
      </c>
      <c r="E35" s="152" t="s">
        <v>265</v>
      </c>
      <c r="F35" s="151"/>
      <c r="G35" s="152" t="s">
        <v>208</v>
      </c>
      <c r="H35" s="147" t="s">
        <v>732</v>
      </c>
      <c r="I35" s="127"/>
      <c r="J35" s="127"/>
      <c r="K35" s="127"/>
    </row>
    <row r="36" spans="1:11" ht="15.95" customHeight="1">
      <c r="A36" s="152" t="s">
        <v>713</v>
      </c>
      <c r="B36" s="152" t="s">
        <v>199</v>
      </c>
      <c r="C36" s="151"/>
      <c r="D36" s="151"/>
      <c r="E36" s="151"/>
      <c r="F36" s="151"/>
      <c r="G36" s="151"/>
      <c r="H36" s="147" t="s">
        <v>733</v>
      </c>
      <c r="I36" s="127"/>
      <c r="J36" s="127"/>
      <c r="K36" s="127"/>
    </row>
    <row r="37" spans="1:11" ht="15.95" customHeight="1">
      <c r="A37" s="152" t="s">
        <v>714</v>
      </c>
      <c r="B37" s="152" t="s">
        <v>200</v>
      </c>
      <c r="C37" s="152" t="s">
        <v>565</v>
      </c>
      <c r="D37" s="152" t="s">
        <v>565</v>
      </c>
      <c r="E37" s="152" t="s">
        <v>685</v>
      </c>
      <c r="F37" s="151"/>
      <c r="G37" s="152" t="s">
        <v>208</v>
      </c>
      <c r="H37" s="147" t="s">
        <v>734</v>
      </c>
      <c r="I37" s="127"/>
      <c r="J37" s="127"/>
      <c r="K37" s="127"/>
    </row>
    <row r="38" spans="1:11" ht="15.95" customHeight="1">
      <c r="A38" s="152" t="s">
        <v>715</v>
      </c>
      <c r="B38" s="152" t="s">
        <v>200</v>
      </c>
      <c r="C38" s="152" t="s">
        <v>201</v>
      </c>
      <c r="D38" s="152" t="s">
        <v>727</v>
      </c>
      <c r="E38" s="152" t="s">
        <v>685</v>
      </c>
      <c r="F38" s="151"/>
      <c r="G38" s="152" t="s">
        <v>208</v>
      </c>
      <c r="H38" s="147" t="s">
        <v>735</v>
      </c>
      <c r="I38" s="127"/>
      <c r="J38" s="127"/>
      <c r="K38" s="127"/>
    </row>
    <row r="39" spans="1:11" ht="15.95" customHeight="1">
      <c r="A39" s="152" t="s">
        <v>716</v>
      </c>
      <c r="B39" s="151"/>
      <c r="C39" s="151"/>
      <c r="D39" s="151"/>
      <c r="E39" s="152" t="s">
        <v>685</v>
      </c>
      <c r="F39" s="151"/>
      <c r="G39" s="152" t="s">
        <v>208</v>
      </c>
      <c r="H39" s="147" t="s">
        <v>736</v>
      </c>
      <c r="I39" s="127"/>
      <c r="J39" s="127"/>
      <c r="K39" s="127"/>
    </row>
    <row r="40" spans="1:11" ht="15.95" customHeight="1">
      <c r="A40" s="152" t="s">
        <v>717</v>
      </c>
      <c r="B40" s="151"/>
      <c r="C40" s="151"/>
      <c r="D40" s="151"/>
      <c r="E40" s="151"/>
      <c r="F40" s="151"/>
      <c r="G40" s="151"/>
      <c r="H40" s="147" t="s">
        <v>737</v>
      </c>
      <c r="I40" s="127"/>
      <c r="J40" s="127"/>
      <c r="K40" s="127"/>
    </row>
    <row r="41" spans="1:11" ht="15.95" customHeight="1">
      <c r="A41" s="152" t="s">
        <v>718</v>
      </c>
      <c r="B41" s="151"/>
      <c r="C41" s="151"/>
      <c r="D41" s="151"/>
      <c r="E41" s="151"/>
      <c r="F41" s="151"/>
      <c r="G41" s="151"/>
      <c r="H41" s="147" t="s">
        <v>738</v>
      </c>
      <c r="I41" s="127"/>
      <c r="J41" s="127"/>
      <c r="K41" s="127"/>
    </row>
    <row r="42" spans="1:11" ht="15.95" customHeight="1">
      <c r="A42" s="152" t="s">
        <v>719</v>
      </c>
      <c r="B42" s="152" t="s">
        <v>198</v>
      </c>
      <c r="C42" s="152" t="s">
        <v>305</v>
      </c>
      <c r="D42" s="151"/>
      <c r="E42" s="151"/>
      <c r="F42" s="151"/>
      <c r="G42" s="152" t="s">
        <v>208</v>
      </c>
      <c r="H42" s="127"/>
      <c r="I42" s="127"/>
      <c r="J42" s="127"/>
      <c r="K42" s="127"/>
    </row>
    <row r="43" spans="1:11" ht="15.95" customHeight="1">
      <c r="A43" s="152" t="s">
        <v>720</v>
      </c>
      <c r="B43" s="151"/>
      <c r="C43" s="151"/>
      <c r="D43" s="151"/>
      <c r="E43" s="151"/>
      <c r="F43" s="151"/>
      <c r="G43" s="151"/>
      <c r="H43" s="147" t="s">
        <v>739</v>
      </c>
      <c r="I43" s="127"/>
      <c r="J43" s="127"/>
      <c r="K43" s="127"/>
    </row>
    <row r="44" spans="1:11" ht="15.95" customHeight="1">
      <c r="A44" s="151"/>
      <c r="B44" s="151"/>
      <c r="C44" s="151"/>
      <c r="D44" s="151"/>
      <c r="E44" s="151"/>
      <c r="F44" s="151"/>
      <c r="G44" s="151"/>
      <c r="H44" s="127"/>
      <c r="I44" s="127"/>
      <c r="J44" s="127"/>
      <c r="K44" s="127"/>
    </row>
    <row r="45" spans="1:11" ht="15.95" customHeight="1">
      <c r="A45" s="151"/>
      <c r="B45" s="151"/>
      <c r="C45" s="151"/>
      <c r="D45" s="151"/>
      <c r="E45" s="151"/>
      <c r="F45" s="151"/>
      <c r="G45" s="151"/>
      <c r="H45" s="147" t="s">
        <v>740</v>
      </c>
      <c r="I45" s="127"/>
      <c r="J45" s="127"/>
      <c r="K45" s="127"/>
    </row>
    <row r="46" spans="1:11" ht="15.95" customHeight="1">
      <c r="A46" s="151"/>
      <c r="B46" s="151"/>
      <c r="C46" s="151"/>
      <c r="D46" s="151"/>
      <c r="E46" s="151"/>
      <c r="F46" s="151"/>
      <c r="G46" s="151"/>
      <c r="H46" s="147" t="s">
        <v>741</v>
      </c>
      <c r="I46" s="127"/>
      <c r="J46" s="127"/>
      <c r="K46" s="127"/>
    </row>
    <row r="47" spans="1:11" ht="15.95" customHeight="1">
      <c r="A47" s="151"/>
      <c r="B47" s="151"/>
      <c r="C47" s="151"/>
      <c r="D47" s="151"/>
      <c r="E47" s="151"/>
      <c r="F47" s="151"/>
      <c r="G47" s="151"/>
      <c r="H47" s="127"/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49" spans="1:9">
      <c r="B49" t="s">
        <v>754</v>
      </c>
      <c r="C49">
        <v>3319.4</v>
      </c>
      <c r="E49">
        <v>3321.6</v>
      </c>
    </row>
    <row r="50" spans="1:9">
      <c r="A50" s="1" t="s">
        <v>104</v>
      </c>
      <c r="B50" s="76" t="s">
        <v>106</v>
      </c>
      <c r="C50" s="42">
        <v>3320.9</v>
      </c>
      <c r="D50" s="76" t="s">
        <v>107</v>
      </c>
      <c r="E50" s="42">
        <v>3323.1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H42" sqref="H42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126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139</v>
      </c>
      <c r="B3" s="45"/>
      <c r="C3" s="45"/>
      <c r="D3" s="45"/>
      <c r="E3" s="45"/>
      <c r="F3" s="45"/>
      <c r="G3" s="51">
        <v>0.375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142</v>
      </c>
      <c r="B4" s="72">
        <v>20</v>
      </c>
      <c r="C4" s="48">
        <f>IF(ISBLANK(A4),"",Plan_Speed)</f>
        <v>8</v>
      </c>
      <c r="D4" s="134"/>
      <c r="E4" s="43">
        <f>IF(ISBLANK(A4),"",C4+D4)</f>
        <v>8</v>
      </c>
      <c r="F4" s="44">
        <f>IF(ISBLANK(A4),"",(B4/E4)/24)</f>
        <v>0.10416666666666667</v>
      </c>
      <c r="G4" s="46">
        <f>IF(I5="G","",IF(ISBLANK(A4),"",G3+H3+F4))</f>
        <v>0.47916666666666669</v>
      </c>
      <c r="H4" s="52"/>
      <c r="I4" s="43"/>
      <c r="J4" s="46" t="str">
        <f>IF(I5="G",K5-F5-H4,"")</f>
        <v/>
      </c>
      <c r="K4" s="46"/>
    </row>
    <row r="5" spans="1:11">
      <c r="A5" s="42"/>
      <c r="B5" s="48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1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20</v>
      </c>
      <c r="E8" s="67" t="s">
        <v>75</v>
      </c>
      <c r="F8" s="77">
        <f>SUM(F3:F7)</f>
        <v>0.10416666666666667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755</v>
      </c>
      <c r="B29" s="151"/>
      <c r="C29" s="151"/>
      <c r="D29" s="151"/>
      <c r="E29" s="151"/>
      <c r="F29" s="151"/>
      <c r="G29" s="151"/>
      <c r="H29" s="147" t="s">
        <v>794</v>
      </c>
      <c r="I29" s="127"/>
      <c r="J29" s="127"/>
      <c r="K29" s="127"/>
    </row>
    <row r="30" spans="1:11" ht="15.95" customHeight="1">
      <c r="A30" s="152" t="s">
        <v>244</v>
      </c>
      <c r="B30" s="152" t="s">
        <v>186</v>
      </c>
      <c r="C30" s="152" t="s">
        <v>589</v>
      </c>
      <c r="D30" s="152" t="s">
        <v>764</v>
      </c>
      <c r="E30" s="152" t="s">
        <v>265</v>
      </c>
      <c r="F30" s="151"/>
      <c r="G30" s="152" t="s">
        <v>482</v>
      </c>
      <c r="H30" s="147" t="s">
        <v>795</v>
      </c>
      <c r="I30" s="127"/>
      <c r="J30" s="127"/>
      <c r="K30" s="127"/>
    </row>
    <row r="31" spans="1:11" ht="15.95" customHeight="1">
      <c r="A31" s="152" t="s">
        <v>507</v>
      </c>
      <c r="B31" s="152" t="s">
        <v>200</v>
      </c>
      <c r="C31" s="152" t="s">
        <v>202</v>
      </c>
      <c r="D31" s="152" t="s">
        <v>308</v>
      </c>
      <c r="E31" s="152" t="s">
        <v>265</v>
      </c>
      <c r="F31" s="152"/>
      <c r="G31" s="152" t="s">
        <v>208</v>
      </c>
      <c r="H31" s="147" t="s">
        <v>796</v>
      </c>
      <c r="I31" s="127"/>
      <c r="J31" s="127"/>
      <c r="K31" s="127"/>
    </row>
    <row r="32" spans="1:11" ht="15.95" customHeight="1">
      <c r="A32" s="152" t="s">
        <v>756</v>
      </c>
      <c r="B32" s="152" t="s">
        <v>199</v>
      </c>
      <c r="C32" s="151"/>
      <c r="D32" s="151"/>
      <c r="E32" s="152" t="s">
        <v>265</v>
      </c>
      <c r="F32" s="152"/>
      <c r="G32" s="152" t="s">
        <v>208</v>
      </c>
      <c r="H32" s="147" t="s">
        <v>797</v>
      </c>
      <c r="I32" s="127"/>
      <c r="J32" s="127"/>
      <c r="K32" s="127"/>
    </row>
    <row r="33" spans="1:11" ht="15.95" customHeight="1">
      <c r="A33" s="152" t="s">
        <v>757</v>
      </c>
      <c r="B33" s="152" t="s">
        <v>200</v>
      </c>
      <c r="C33" s="152" t="s">
        <v>761</v>
      </c>
      <c r="D33" s="152" t="s">
        <v>211</v>
      </c>
      <c r="E33" s="152" t="s">
        <v>265</v>
      </c>
      <c r="F33" s="152"/>
      <c r="G33" s="152" t="s">
        <v>208</v>
      </c>
      <c r="H33" s="147" t="s">
        <v>798</v>
      </c>
      <c r="I33" s="127"/>
      <c r="J33" s="127"/>
      <c r="K33" s="127"/>
    </row>
    <row r="34" spans="1:11" ht="15.95" customHeight="1">
      <c r="A34" s="152" t="s">
        <v>246</v>
      </c>
      <c r="B34" s="152" t="s">
        <v>199</v>
      </c>
      <c r="C34" s="152" t="s">
        <v>565</v>
      </c>
      <c r="D34" s="152" t="s">
        <v>565</v>
      </c>
      <c r="E34" s="152" t="s">
        <v>265</v>
      </c>
      <c r="F34" s="152"/>
      <c r="G34" s="152" t="s">
        <v>208</v>
      </c>
      <c r="H34" s="147" t="s">
        <v>799</v>
      </c>
      <c r="I34" s="127"/>
      <c r="J34" s="127"/>
      <c r="K34" s="127"/>
    </row>
    <row r="35" spans="1:11" ht="15.95" customHeight="1">
      <c r="A35" s="152" t="s">
        <v>394</v>
      </c>
      <c r="B35" s="152" t="s">
        <v>200</v>
      </c>
      <c r="C35" s="152" t="s">
        <v>438</v>
      </c>
      <c r="D35" s="152" t="s">
        <v>765</v>
      </c>
      <c r="E35" s="152" t="s">
        <v>265</v>
      </c>
      <c r="F35" s="152"/>
      <c r="G35" s="152" t="s">
        <v>208</v>
      </c>
      <c r="H35" s="147" t="s">
        <v>800</v>
      </c>
      <c r="I35" s="127"/>
      <c r="J35" s="127"/>
      <c r="K35" s="127"/>
    </row>
    <row r="36" spans="1:11" ht="15.95" customHeight="1">
      <c r="A36" s="152" t="s">
        <v>758</v>
      </c>
      <c r="B36" s="152" t="s">
        <v>199</v>
      </c>
      <c r="C36" s="152" t="s">
        <v>565</v>
      </c>
      <c r="D36" s="152" t="s">
        <v>565</v>
      </c>
      <c r="E36" s="152" t="s">
        <v>265</v>
      </c>
      <c r="F36" s="152"/>
      <c r="G36" s="152" t="s">
        <v>208</v>
      </c>
      <c r="H36" s="147" t="s">
        <v>801</v>
      </c>
      <c r="I36" s="127"/>
      <c r="J36" s="127"/>
      <c r="K36" s="127"/>
    </row>
    <row r="37" spans="1:11" ht="15.95" customHeight="1">
      <c r="A37" s="152" t="s">
        <v>512</v>
      </c>
      <c r="B37" s="152" t="s">
        <v>186</v>
      </c>
      <c r="C37" s="152" t="s">
        <v>762</v>
      </c>
      <c r="D37" s="152" t="s">
        <v>766</v>
      </c>
      <c r="E37" s="152" t="s">
        <v>265</v>
      </c>
      <c r="F37" s="151"/>
      <c r="G37" s="152" t="s">
        <v>208</v>
      </c>
      <c r="H37" s="147" t="s">
        <v>802</v>
      </c>
      <c r="I37" s="127"/>
      <c r="J37" s="127"/>
      <c r="K37" s="127"/>
    </row>
    <row r="38" spans="1:11" ht="15.95" customHeight="1">
      <c r="A38" s="152" t="s">
        <v>468</v>
      </c>
      <c r="B38" s="152" t="s">
        <v>186</v>
      </c>
      <c r="C38" s="152" t="s">
        <v>763</v>
      </c>
      <c r="D38" s="152" t="s">
        <v>565</v>
      </c>
      <c r="E38" s="152" t="s">
        <v>265</v>
      </c>
      <c r="F38" s="151"/>
      <c r="G38" s="152" t="s">
        <v>208</v>
      </c>
      <c r="H38" s="147" t="s">
        <v>803</v>
      </c>
      <c r="I38" s="127"/>
      <c r="J38" s="127"/>
      <c r="K38" s="127"/>
    </row>
    <row r="39" spans="1:11" ht="15.95" customHeight="1">
      <c r="A39" s="152" t="s">
        <v>759</v>
      </c>
      <c r="B39" s="152" t="s">
        <v>199</v>
      </c>
      <c r="C39" s="151"/>
      <c r="D39" s="151"/>
      <c r="E39" s="151"/>
      <c r="F39" s="151"/>
      <c r="G39" s="151"/>
      <c r="H39" s="147" t="s">
        <v>804</v>
      </c>
      <c r="I39" s="127"/>
      <c r="J39" s="127"/>
      <c r="K39" s="127"/>
    </row>
    <row r="40" spans="1:11" ht="15.95" customHeight="1">
      <c r="A40" s="152" t="s">
        <v>189</v>
      </c>
      <c r="B40" s="151"/>
      <c r="C40" s="151"/>
      <c r="D40" s="151"/>
      <c r="E40" s="151"/>
      <c r="F40" s="151"/>
      <c r="G40" s="151"/>
      <c r="H40" s="147" t="s">
        <v>805</v>
      </c>
      <c r="I40" s="127"/>
      <c r="J40" s="127"/>
      <c r="K40" s="127"/>
    </row>
    <row r="41" spans="1:11" ht="15.95" customHeight="1">
      <c r="A41" s="152" t="s">
        <v>190</v>
      </c>
      <c r="B41" s="151"/>
      <c r="C41" s="151"/>
      <c r="D41" s="151"/>
      <c r="E41" s="151"/>
      <c r="F41" s="151"/>
      <c r="G41" s="151"/>
      <c r="H41" s="147" t="s">
        <v>806</v>
      </c>
      <c r="I41" s="127"/>
      <c r="J41" s="127"/>
      <c r="K41" s="127"/>
    </row>
    <row r="42" spans="1:11" ht="15.95" customHeight="1">
      <c r="A42" s="152" t="s">
        <v>760</v>
      </c>
      <c r="B42" s="151"/>
      <c r="C42" s="151"/>
      <c r="D42" s="151"/>
      <c r="E42" s="151"/>
      <c r="F42" s="151"/>
      <c r="G42" s="151"/>
      <c r="H42" s="147" t="s">
        <v>807</v>
      </c>
      <c r="I42" s="127"/>
      <c r="J42" s="127"/>
      <c r="K42" s="127"/>
    </row>
    <row r="43" spans="1:11" ht="15.95" customHeight="1">
      <c r="A43" s="151"/>
      <c r="B43" s="151"/>
      <c r="C43" s="151"/>
      <c r="D43" s="151"/>
      <c r="E43" s="151"/>
      <c r="F43" s="151"/>
      <c r="G43" s="151"/>
      <c r="H43" s="127"/>
      <c r="I43" s="127"/>
      <c r="J43" s="127"/>
      <c r="K43" s="127"/>
    </row>
    <row r="44" spans="1:11" ht="15.95" customHeight="1">
      <c r="A44" s="151"/>
      <c r="B44" s="151"/>
      <c r="C44" s="151"/>
      <c r="D44" s="151"/>
      <c r="E44" s="151"/>
      <c r="F44" s="151"/>
      <c r="G44" s="151"/>
      <c r="H44" s="127"/>
      <c r="I44" s="127"/>
      <c r="J44" s="127"/>
      <c r="K44" s="127"/>
    </row>
    <row r="45" spans="1:11" ht="15.95" customHeight="1">
      <c r="A45" s="151"/>
      <c r="B45" s="151"/>
      <c r="C45" s="151"/>
      <c r="D45" s="151"/>
      <c r="E45" s="151"/>
      <c r="F45" s="151"/>
      <c r="G45" s="151"/>
      <c r="H45" s="127"/>
      <c r="I45" s="127"/>
      <c r="J45" s="127"/>
      <c r="K45" s="127"/>
    </row>
    <row r="46" spans="1:11" ht="15.95" customHeight="1">
      <c r="A46" s="151"/>
      <c r="B46" s="151"/>
      <c r="C46" s="151"/>
      <c r="D46" s="151"/>
      <c r="E46" s="151"/>
      <c r="F46" s="151"/>
      <c r="G46" s="151"/>
      <c r="H46" s="127"/>
      <c r="I46" s="127"/>
      <c r="J46" s="127"/>
      <c r="K46" s="127"/>
    </row>
    <row r="47" spans="1:11" ht="15.95" customHeight="1">
      <c r="A47" s="151"/>
      <c r="B47" s="151"/>
      <c r="C47" s="151"/>
      <c r="D47" s="151"/>
      <c r="E47" s="151"/>
      <c r="F47" s="151"/>
      <c r="G47" s="151"/>
      <c r="H47" s="127"/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3326.6</v>
      </c>
      <c r="D50" s="76" t="s">
        <v>107</v>
      </c>
      <c r="E50" s="42">
        <v>3326.8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E50" sqref="E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127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142</v>
      </c>
      <c r="B3" s="45"/>
      <c r="C3" s="45"/>
      <c r="D3" s="45"/>
      <c r="E3" s="45"/>
      <c r="F3" s="45"/>
      <c r="G3" s="51">
        <v>0.375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90</v>
      </c>
      <c r="B4" s="48">
        <v>11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5.7291666666666664E-2</v>
      </c>
      <c r="G4" s="46">
        <f>IF(I5="G","",IF(ISBLANK(A4),"",G3+H3+F4))</f>
        <v>0.43229166666666669</v>
      </c>
      <c r="H4" s="52"/>
      <c r="I4" s="43"/>
      <c r="J4" s="46" t="str">
        <f>IF(I5="G",K5-F5-H4,"")</f>
        <v/>
      </c>
      <c r="K4" s="46"/>
    </row>
    <row r="5" spans="1:11">
      <c r="A5" s="83"/>
      <c r="B5" s="91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2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11</v>
      </c>
      <c r="E8" s="67" t="s">
        <v>75</v>
      </c>
      <c r="F8" s="77">
        <f>SUM(F3:F7)</f>
        <v>5.7291666666666664E-2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674</v>
      </c>
      <c r="B29" s="151"/>
      <c r="C29" s="151"/>
      <c r="D29" s="151"/>
      <c r="E29" s="151"/>
      <c r="F29" s="151"/>
      <c r="G29" s="151"/>
      <c r="H29" s="147" t="s">
        <v>785</v>
      </c>
      <c r="I29" s="127"/>
      <c r="J29" s="127"/>
      <c r="K29" s="127"/>
    </row>
    <row r="30" spans="1:11" ht="15.95" customHeight="1">
      <c r="A30" s="152" t="s">
        <v>772</v>
      </c>
      <c r="B30" s="151"/>
      <c r="C30" s="151"/>
      <c r="D30" s="151"/>
      <c r="E30" s="151"/>
      <c r="F30" s="151"/>
      <c r="G30" s="151"/>
      <c r="H30" s="147" t="s">
        <v>403</v>
      </c>
      <c r="I30" s="127"/>
      <c r="J30" s="127"/>
      <c r="K30" s="127"/>
    </row>
    <row r="31" spans="1:11" ht="15.95" customHeight="1">
      <c r="A31" s="152" t="s">
        <v>767</v>
      </c>
      <c r="B31" s="152" t="s">
        <v>200</v>
      </c>
      <c r="C31" s="152" t="s">
        <v>479</v>
      </c>
      <c r="D31" s="152" t="s">
        <v>774</v>
      </c>
      <c r="E31" s="152" t="s">
        <v>779</v>
      </c>
      <c r="F31" s="152" t="s">
        <v>780</v>
      </c>
      <c r="G31" s="152" t="s">
        <v>784</v>
      </c>
      <c r="H31" s="147" t="s">
        <v>789</v>
      </c>
      <c r="I31" s="127"/>
      <c r="J31" s="127"/>
      <c r="K31" s="127"/>
    </row>
    <row r="32" spans="1:11" ht="15.95" customHeight="1">
      <c r="A32" s="152" t="s">
        <v>331</v>
      </c>
      <c r="B32" s="152" t="s">
        <v>200</v>
      </c>
      <c r="C32" s="152" t="s">
        <v>655</v>
      </c>
      <c r="D32" s="152" t="s">
        <v>775</v>
      </c>
      <c r="E32" s="152" t="s">
        <v>779</v>
      </c>
      <c r="F32" s="152" t="s">
        <v>780</v>
      </c>
      <c r="G32" s="152" t="s">
        <v>208</v>
      </c>
      <c r="H32" s="147" t="s">
        <v>790</v>
      </c>
      <c r="I32" s="127"/>
      <c r="J32" s="127"/>
      <c r="K32" s="127"/>
    </row>
    <row r="33" spans="1:11" ht="15.95" customHeight="1">
      <c r="A33" s="152" t="s">
        <v>768</v>
      </c>
      <c r="B33" s="152" t="s">
        <v>200</v>
      </c>
      <c r="C33" s="152" t="s">
        <v>258</v>
      </c>
      <c r="D33" s="152" t="s">
        <v>657</v>
      </c>
      <c r="E33" s="152" t="s">
        <v>779</v>
      </c>
      <c r="F33" s="152" t="s">
        <v>781</v>
      </c>
      <c r="G33" s="152" t="s">
        <v>208</v>
      </c>
      <c r="H33" s="147" t="s">
        <v>786</v>
      </c>
      <c r="I33" s="127"/>
      <c r="J33" s="127"/>
      <c r="K33" s="127"/>
    </row>
    <row r="34" spans="1:11" ht="15.95" customHeight="1">
      <c r="A34" s="152" t="s">
        <v>716</v>
      </c>
      <c r="B34" s="152" t="s">
        <v>200</v>
      </c>
      <c r="C34" s="152" t="s">
        <v>556</v>
      </c>
      <c r="D34" s="152" t="s">
        <v>776</v>
      </c>
      <c r="E34" s="152" t="s">
        <v>779</v>
      </c>
      <c r="F34" s="152" t="s">
        <v>782</v>
      </c>
      <c r="G34" s="152" t="s">
        <v>208</v>
      </c>
      <c r="H34" s="147" t="s">
        <v>787</v>
      </c>
      <c r="I34" s="127"/>
      <c r="J34" s="127"/>
      <c r="K34" s="127"/>
    </row>
    <row r="35" spans="1:11" ht="15.95" customHeight="1">
      <c r="A35" s="152" t="s">
        <v>769</v>
      </c>
      <c r="B35" s="152" t="s">
        <v>200</v>
      </c>
      <c r="C35" s="152" t="s">
        <v>258</v>
      </c>
      <c r="D35" s="152" t="s">
        <v>777</v>
      </c>
      <c r="E35" s="152" t="s">
        <v>779</v>
      </c>
      <c r="F35" s="152" t="s">
        <v>783</v>
      </c>
      <c r="G35" s="152" t="s">
        <v>208</v>
      </c>
      <c r="H35" s="147" t="s">
        <v>788</v>
      </c>
      <c r="I35" s="127"/>
      <c r="J35" s="127"/>
      <c r="K35" s="127"/>
    </row>
    <row r="36" spans="1:11" ht="15.95" customHeight="1">
      <c r="A36" s="152" t="s">
        <v>770</v>
      </c>
      <c r="B36" s="152" t="s">
        <v>200</v>
      </c>
      <c r="C36" s="152" t="s">
        <v>655</v>
      </c>
      <c r="D36" s="152" t="s">
        <v>778</v>
      </c>
      <c r="E36" s="152" t="s">
        <v>779</v>
      </c>
      <c r="F36" s="152" t="s">
        <v>780</v>
      </c>
      <c r="G36" s="152" t="s">
        <v>208</v>
      </c>
      <c r="H36" s="147" t="s">
        <v>791</v>
      </c>
      <c r="I36" s="127"/>
      <c r="J36" s="127"/>
      <c r="K36" s="127"/>
    </row>
    <row r="37" spans="1:11" ht="15.95" customHeight="1">
      <c r="A37" s="152" t="s">
        <v>773</v>
      </c>
      <c r="B37" s="151"/>
      <c r="C37" s="151"/>
      <c r="D37" s="151"/>
      <c r="E37" s="151"/>
      <c r="F37" s="151"/>
      <c r="G37" s="151"/>
      <c r="H37" s="147" t="s">
        <v>792</v>
      </c>
      <c r="I37" s="127"/>
      <c r="J37" s="127"/>
      <c r="K37" s="127"/>
    </row>
    <row r="38" spans="1:11" ht="15.95" customHeight="1">
      <c r="A38" s="152" t="s">
        <v>771</v>
      </c>
      <c r="B38" s="151"/>
      <c r="C38" s="151"/>
      <c r="D38" s="151"/>
      <c r="E38" s="151"/>
      <c r="F38" s="151"/>
      <c r="G38" s="151"/>
      <c r="H38" s="147" t="s">
        <v>793</v>
      </c>
      <c r="I38" s="127"/>
      <c r="J38" s="127"/>
      <c r="K38" s="127"/>
    </row>
    <row r="39" spans="1:11" ht="15.95" customHeight="1">
      <c r="A39" s="151"/>
      <c r="B39" s="151"/>
      <c r="C39" s="151"/>
      <c r="D39" s="151"/>
      <c r="E39" s="151"/>
      <c r="F39" s="151"/>
      <c r="G39" s="151"/>
      <c r="H39" s="127"/>
      <c r="I39" s="127"/>
      <c r="J39" s="127"/>
      <c r="K39" s="127"/>
    </row>
    <row r="40" spans="1:11" ht="15.95" customHeight="1">
      <c r="A40" s="151"/>
      <c r="B40" s="151"/>
      <c r="C40" s="151"/>
      <c r="D40" s="151"/>
      <c r="E40" s="151"/>
      <c r="F40" s="151"/>
      <c r="G40" s="151"/>
      <c r="H40" s="127"/>
      <c r="I40" s="127"/>
      <c r="J40" s="127"/>
      <c r="K40" s="127"/>
    </row>
    <row r="41" spans="1:11" ht="15.95" customHeight="1">
      <c r="A41" s="151"/>
      <c r="B41" s="151"/>
      <c r="C41" s="151"/>
      <c r="D41" s="151"/>
      <c r="E41" s="151"/>
      <c r="F41" s="151"/>
      <c r="G41" s="151"/>
      <c r="H41" s="127"/>
      <c r="I41" s="127"/>
      <c r="J41" s="127"/>
      <c r="K41" s="127"/>
    </row>
    <row r="42" spans="1:11" ht="15.95" customHeight="1">
      <c r="A42" s="151"/>
      <c r="B42" s="151"/>
      <c r="C42" s="151"/>
      <c r="D42" s="151"/>
      <c r="E42" s="151"/>
      <c r="F42" s="151"/>
      <c r="G42" s="151"/>
      <c r="H42" s="127"/>
      <c r="I42" s="127"/>
      <c r="J42" s="127"/>
      <c r="K42" s="127"/>
    </row>
    <row r="43" spans="1:11" ht="15.95" customHeight="1">
      <c r="A43" s="151"/>
      <c r="B43" s="151"/>
      <c r="C43" s="151"/>
      <c r="D43" s="151"/>
      <c r="E43" s="151"/>
      <c r="F43" s="151"/>
      <c r="G43" s="151"/>
      <c r="H43" s="127"/>
      <c r="I43" s="127"/>
      <c r="J43" s="127"/>
      <c r="K43" s="127"/>
    </row>
    <row r="44" spans="1:11" ht="15.95" customHeight="1">
      <c r="A44" s="151"/>
      <c r="B44" s="151"/>
      <c r="C44" s="151"/>
      <c r="D44" s="151"/>
      <c r="E44" s="151"/>
      <c r="F44" s="151"/>
      <c r="G44" s="151"/>
      <c r="H44" s="127"/>
      <c r="I44" s="127"/>
      <c r="J44" s="127"/>
      <c r="K44" s="127"/>
    </row>
    <row r="45" spans="1:11" ht="15.95" customHeight="1">
      <c r="A45" s="151"/>
      <c r="B45" s="151"/>
      <c r="C45" s="151"/>
      <c r="D45" s="151"/>
      <c r="E45" s="151"/>
      <c r="F45" s="151"/>
      <c r="G45" s="151"/>
      <c r="H45" s="127"/>
      <c r="I45" s="127"/>
      <c r="J45" s="127"/>
      <c r="K45" s="127"/>
    </row>
    <row r="46" spans="1:11" ht="15.95" customHeight="1">
      <c r="A46" s="151"/>
      <c r="B46" s="151"/>
      <c r="C46" s="151"/>
      <c r="D46" s="151"/>
      <c r="E46" s="151"/>
      <c r="F46" s="151"/>
      <c r="G46" s="151"/>
      <c r="H46" s="127"/>
      <c r="I46" s="127"/>
      <c r="J46" s="127"/>
      <c r="K46" s="127"/>
    </row>
    <row r="47" spans="1:11" ht="15.95" customHeight="1">
      <c r="A47" s="151"/>
      <c r="B47" s="151"/>
      <c r="C47" s="151"/>
      <c r="D47" s="151"/>
      <c r="E47" s="151"/>
      <c r="F47" s="151"/>
      <c r="G47" s="151"/>
      <c r="H47" s="127"/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3326.4</v>
      </c>
      <c r="D50" s="76" t="s">
        <v>107</v>
      </c>
      <c r="E50" s="42">
        <v>3328.6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topLeftCell="A27" workbookViewId="0">
      <selection activeCell="A29" sqref="A29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128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90</v>
      </c>
      <c r="B3" s="45"/>
      <c r="C3" s="45"/>
      <c r="D3" s="45"/>
      <c r="E3" s="45"/>
      <c r="F3" s="45"/>
      <c r="G3" s="51"/>
      <c r="H3" s="45"/>
      <c r="I3" s="45"/>
      <c r="J3" s="46" t="str">
        <f>IF(I5="G",IF(ISBLANK(A4),J4,J4-F4),"")</f>
        <v/>
      </c>
      <c r="K3" s="45"/>
    </row>
    <row r="4" spans="1:11">
      <c r="A4" s="15" t="s">
        <v>143</v>
      </c>
      <c r="B4" s="48">
        <v>5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2.6041666666666668E-2</v>
      </c>
      <c r="G4" s="46">
        <f>IF(I5="G","",IF(ISBLANK(A4),"",G3+H3+F4))</f>
        <v>2.6041666666666668E-2</v>
      </c>
      <c r="H4" s="52"/>
      <c r="I4" s="43"/>
      <c r="J4" s="46" t="str">
        <f>IF(I5="G",K5-F5-H4,"")</f>
        <v/>
      </c>
      <c r="K4" s="46"/>
    </row>
    <row r="5" spans="1:11">
      <c r="A5" s="42"/>
      <c r="B5" s="48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1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5</v>
      </c>
      <c r="E8" s="67" t="s">
        <v>75</v>
      </c>
      <c r="F8" s="77">
        <f>SUM(F3:F7)</f>
        <v>2.6041666666666668E-2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834</v>
      </c>
      <c r="B29" s="151"/>
      <c r="C29" s="151"/>
      <c r="D29" s="151"/>
      <c r="E29" s="151"/>
      <c r="F29" s="151"/>
      <c r="G29" s="151"/>
      <c r="H29" s="147" t="s">
        <v>842</v>
      </c>
      <c r="I29" s="127"/>
      <c r="J29" s="127"/>
      <c r="K29" s="127"/>
    </row>
    <row r="30" spans="1:11" ht="15.95" customHeight="1">
      <c r="A30" s="152" t="s">
        <v>710</v>
      </c>
      <c r="B30" s="152" t="s">
        <v>819</v>
      </c>
      <c r="C30" s="152"/>
      <c r="D30" s="152"/>
      <c r="E30" s="152" t="s">
        <v>266</v>
      </c>
      <c r="F30" s="152" t="s">
        <v>597</v>
      </c>
      <c r="G30" s="151"/>
      <c r="H30" s="147" t="s">
        <v>835</v>
      </c>
      <c r="I30" s="127"/>
      <c r="J30" s="127"/>
      <c r="K30" s="127"/>
    </row>
    <row r="31" spans="1:11" ht="15.95" customHeight="1">
      <c r="A31" s="152" t="s">
        <v>810</v>
      </c>
      <c r="B31" s="152" t="s">
        <v>553</v>
      </c>
      <c r="C31" s="152" t="s">
        <v>821</v>
      </c>
      <c r="D31" s="152" t="s">
        <v>209</v>
      </c>
      <c r="E31" s="152" t="s">
        <v>266</v>
      </c>
      <c r="F31" s="152" t="s">
        <v>597</v>
      </c>
      <c r="G31" s="151"/>
      <c r="H31" s="147" t="s">
        <v>836</v>
      </c>
      <c r="I31" s="127"/>
      <c r="J31" s="127"/>
      <c r="K31" s="127"/>
    </row>
    <row r="32" spans="1:11" ht="15.95" customHeight="1">
      <c r="A32" s="152" t="s">
        <v>811</v>
      </c>
      <c r="B32" s="152" t="s">
        <v>553</v>
      </c>
      <c r="C32" s="152" t="s">
        <v>822</v>
      </c>
      <c r="D32" s="152" t="s">
        <v>826</v>
      </c>
      <c r="E32" s="152" t="s">
        <v>266</v>
      </c>
      <c r="F32" s="152" t="s">
        <v>217</v>
      </c>
      <c r="G32" s="151"/>
      <c r="H32" s="147" t="s">
        <v>837</v>
      </c>
      <c r="I32" s="127"/>
      <c r="J32" s="127"/>
      <c r="K32" s="127"/>
    </row>
    <row r="33" spans="1:11" ht="15.95" customHeight="1">
      <c r="A33" s="152" t="s">
        <v>247</v>
      </c>
      <c r="B33" s="152" t="s">
        <v>553</v>
      </c>
      <c r="C33" s="152" t="s">
        <v>823</v>
      </c>
      <c r="D33" s="152" t="s">
        <v>827</v>
      </c>
      <c r="E33" s="152" t="s">
        <v>266</v>
      </c>
      <c r="F33" s="152" t="s">
        <v>217</v>
      </c>
      <c r="G33" s="151"/>
      <c r="H33" s="147" t="s">
        <v>838</v>
      </c>
      <c r="I33" s="127"/>
      <c r="J33" s="127"/>
      <c r="K33" s="127"/>
    </row>
    <row r="34" spans="1:11" ht="15.95" customHeight="1">
      <c r="A34" s="152" t="s">
        <v>549</v>
      </c>
      <c r="B34" s="152" t="s">
        <v>820</v>
      </c>
      <c r="C34" s="152" t="s">
        <v>565</v>
      </c>
      <c r="D34" s="152" t="s">
        <v>565</v>
      </c>
      <c r="E34" s="152" t="s">
        <v>266</v>
      </c>
      <c r="F34" s="152" t="s">
        <v>360</v>
      </c>
      <c r="G34" s="151"/>
      <c r="H34" s="147" t="s">
        <v>839</v>
      </c>
      <c r="I34" s="127"/>
      <c r="J34" s="127"/>
      <c r="K34" s="127"/>
    </row>
    <row r="35" spans="1:11" ht="15.95" customHeight="1">
      <c r="A35" s="152" t="s">
        <v>812</v>
      </c>
      <c r="B35" s="152" t="s">
        <v>819</v>
      </c>
      <c r="C35" s="152" t="s">
        <v>554</v>
      </c>
      <c r="D35" s="152" t="s">
        <v>271</v>
      </c>
      <c r="E35" s="152" t="s">
        <v>266</v>
      </c>
      <c r="F35" s="152" t="s">
        <v>597</v>
      </c>
      <c r="G35" s="151"/>
      <c r="H35" s="147" t="s">
        <v>840</v>
      </c>
      <c r="I35" s="127"/>
      <c r="J35" s="127"/>
      <c r="K35" s="127"/>
    </row>
    <row r="36" spans="1:11" ht="15.95" customHeight="1">
      <c r="A36" s="152" t="s">
        <v>713</v>
      </c>
      <c r="B36" s="151"/>
      <c r="C36" s="151"/>
      <c r="D36" s="151"/>
      <c r="E36" s="151"/>
      <c r="F36" s="151"/>
      <c r="G36" s="151"/>
      <c r="H36" s="147" t="s">
        <v>841</v>
      </c>
      <c r="I36" s="127"/>
      <c r="J36" s="127"/>
      <c r="K36" s="127"/>
    </row>
    <row r="37" spans="1:11" ht="15.95" customHeight="1">
      <c r="A37" s="152" t="s">
        <v>191</v>
      </c>
      <c r="B37" s="151"/>
      <c r="C37" s="151"/>
      <c r="D37" s="151"/>
      <c r="E37" s="151"/>
      <c r="F37" s="151"/>
      <c r="G37" s="151"/>
      <c r="H37" s="147" t="s">
        <v>843</v>
      </c>
      <c r="I37" s="127"/>
      <c r="J37" s="127"/>
      <c r="K37" s="127"/>
    </row>
    <row r="38" spans="1:11" ht="15.95" customHeight="1">
      <c r="A38" s="152" t="s">
        <v>430</v>
      </c>
      <c r="B38" s="151"/>
      <c r="C38" s="151"/>
      <c r="D38" s="151"/>
      <c r="E38" s="151"/>
      <c r="F38" s="151"/>
      <c r="G38" s="151"/>
      <c r="H38" s="147" t="s">
        <v>844</v>
      </c>
      <c r="I38" s="127"/>
      <c r="J38" s="127"/>
      <c r="K38" s="127"/>
    </row>
    <row r="39" spans="1:11" ht="15.95" customHeight="1">
      <c r="A39" s="152" t="s">
        <v>773</v>
      </c>
      <c r="B39" s="151"/>
      <c r="C39" s="151"/>
      <c r="D39" s="151"/>
      <c r="E39" s="151"/>
      <c r="F39" s="151"/>
      <c r="G39" s="151"/>
      <c r="H39" s="147" t="s">
        <v>845</v>
      </c>
      <c r="I39" s="127"/>
      <c r="J39" s="127"/>
      <c r="K39" s="127"/>
    </row>
    <row r="40" spans="1:11" ht="15.95" customHeight="1">
      <c r="A40" s="151"/>
      <c r="B40" s="151"/>
      <c r="C40" s="151"/>
      <c r="D40" s="151"/>
      <c r="E40" s="151"/>
      <c r="F40" s="151"/>
      <c r="G40" s="151"/>
      <c r="H40" s="127"/>
      <c r="I40" s="127"/>
      <c r="J40" s="127"/>
      <c r="K40" s="127"/>
    </row>
    <row r="41" spans="1:11" ht="15.95" customHeight="1">
      <c r="A41" s="152" t="s">
        <v>813</v>
      </c>
      <c r="B41" s="152" t="s">
        <v>820</v>
      </c>
      <c r="C41" s="152" t="s">
        <v>821</v>
      </c>
      <c r="D41" s="152" t="s">
        <v>828</v>
      </c>
      <c r="E41" s="152" t="s">
        <v>266</v>
      </c>
      <c r="F41" s="152" t="s">
        <v>659</v>
      </c>
      <c r="G41" s="151"/>
      <c r="H41" s="147" t="s">
        <v>846</v>
      </c>
      <c r="I41" s="127"/>
      <c r="J41" s="127"/>
      <c r="K41" s="127"/>
    </row>
    <row r="42" spans="1:11" ht="15.95" customHeight="1">
      <c r="A42" s="152" t="s">
        <v>814</v>
      </c>
      <c r="B42" s="152" t="s">
        <v>186</v>
      </c>
      <c r="C42" s="152" t="s">
        <v>824</v>
      </c>
      <c r="D42" s="152" t="s">
        <v>263</v>
      </c>
      <c r="E42" s="152" t="s">
        <v>266</v>
      </c>
      <c r="F42" s="152" t="s">
        <v>314</v>
      </c>
      <c r="G42" s="151"/>
      <c r="H42" s="147" t="s">
        <v>847</v>
      </c>
      <c r="I42" s="127"/>
      <c r="J42" s="127"/>
      <c r="K42" s="127"/>
    </row>
    <row r="43" spans="1:11" ht="15.95" customHeight="1">
      <c r="A43" s="152" t="s">
        <v>815</v>
      </c>
      <c r="B43" s="152" t="s">
        <v>200</v>
      </c>
      <c r="C43" s="152" t="s">
        <v>201</v>
      </c>
      <c r="D43" s="152" t="s">
        <v>829</v>
      </c>
      <c r="E43" s="152" t="s">
        <v>355</v>
      </c>
      <c r="F43" s="152" t="s">
        <v>217</v>
      </c>
      <c r="G43" s="151"/>
      <c r="H43" s="147" t="s">
        <v>848</v>
      </c>
      <c r="I43" s="127"/>
      <c r="J43" s="127"/>
      <c r="K43" s="127"/>
    </row>
    <row r="44" spans="1:11" ht="15.95" customHeight="1">
      <c r="A44" s="152" t="s">
        <v>816</v>
      </c>
      <c r="B44" s="152" t="s">
        <v>200</v>
      </c>
      <c r="C44" s="152" t="s">
        <v>203</v>
      </c>
      <c r="D44" s="152" t="s">
        <v>830</v>
      </c>
      <c r="E44" s="151"/>
      <c r="F44" s="152" t="s">
        <v>265</v>
      </c>
      <c r="G44" s="151"/>
      <c r="H44" s="147" t="s">
        <v>849</v>
      </c>
      <c r="I44" s="127"/>
      <c r="J44" s="127"/>
      <c r="K44" s="127"/>
    </row>
    <row r="45" spans="1:11" ht="15.95" customHeight="1">
      <c r="A45" s="152" t="s">
        <v>817</v>
      </c>
      <c r="B45" s="152" t="s">
        <v>200</v>
      </c>
      <c r="C45" s="152" t="s">
        <v>624</v>
      </c>
      <c r="D45" s="152" t="s">
        <v>831</v>
      </c>
      <c r="E45" s="151"/>
      <c r="F45" s="152" t="s">
        <v>685</v>
      </c>
      <c r="G45" s="151"/>
      <c r="H45" s="147" t="s">
        <v>850</v>
      </c>
      <c r="I45" s="127"/>
      <c r="J45" s="127"/>
      <c r="K45" s="127"/>
    </row>
    <row r="46" spans="1:11" ht="15.95" customHeight="1">
      <c r="A46" s="152" t="s">
        <v>818</v>
      </c>
      <c r="B46" s="152" t="s">
        <v>199</v>
      </c>
      <c r="C46" s="151"/>
      <c r="D46" s="151"/>
      <c r="E46" s="151"/>
      <c r="F46" s="152" t="s">
        <v>265</v>
      </c>
      <c r="G46" s="151"/>
      <c r="H46" s="147" t="s">
        <v>852</v>
      </c>
      <c r="I46" s="127"/>
      <c r="J46" s="127"/>
      <c r="K46" s="127"/>
    </row>
    <row r="47" spans="1:11" ht="15.95" customHeight="1">
      <c r="A47" s="152" t="s">
        <v>825</v>
      </c>
      <c r="B47" s="152" t="s">
        <v>199</v>
      </c>
      <c r="C47" s="151"/>
      <c r="D47" s="151"/>
      <c r="E47" s="151"/>
      <c r="F47" s="152" t="s">
        <v>265</v>
      </c>
      <c r="G47" s="151"/>
      <c r="H47" s="147" t="s">
        <v>851</v>
      </c>
      <c r="I47" s="127"/>
      <c r="J47" s="127"/>
      <c r="K47" s="127"/>
    </row>
    <row r="48" spans="1:11" ht="15.95" customHeight="1">
      <c r="A48" s="152" t="s">
        <v>719</v>
      </c>
      <c r="B48" s="152" t="s">
        <v>200</v>
      </c>
      <c r="C48" s="152" t="s">
        <v>302</v>
      </c>
      <c r="D48" s="152" t="s">
        <v>832</v>
      </c>
      <c r="E48" s="151"/>
      <c r="F48" s="152" t="s">
        <v>685</v>
      </c>
      <c r="G48" s="152"/>
      <c r="H48" s="147" t="s">
        <v>853</v>
      </c>
      <c r="I48" s="127"/>
      <c r="J48" s="127"/>
      <c r="K48" s="127"/>
    </row>
    <row r="49" spans="1:11" ht="15.95" customHeight="1">
      <c r="A49" s="152" t="s">
        <v>435</v>
      </c>
      <c r="B49" s="152" t="s">
        <v>200</v>
      </c>
      <c r="C49" s="152" t="s">
        <v>202</v>
      </c>
      <c r="D49" s="152" t="s">
        <v>833</v>
      </c>
      <c r="E49" s="152" t="s">
        <v>266</v>
      </c>
      <c r="F49" s="152" t="s">
        <v>596</v>
      </c>
      <c r="G49" s="152"/>
      <c r="H49" s="147" t="s">
        <v>854</v>
      </c>
      <c r="I49" s="127"/>
      <c r="J49" s="127"/>
      <c r="K49" s="127"/>
    </row>
    <row r="50" spans="1:11" ht="15.95" customHeight="1">
      <c r="A50" s="152" t="s">
        <v>855</v>
      </c>
      <c r="B50" s="152" t="s">
        <v>200</v>
      </c>
      <c r="C50" s="152" t="s">
        <v>478</v>
      </c>
      <c r="D50" s="152" t="s">
        <v>784</v>
      </c>
      <c r="E50" s="152" t="s">
        <v>266</v>
      </c>
      <c r="F50" s="152" t="s">
        <v>597</v>
      </c>
      <c r="G50" s="152" t="s">
        <v>208</v>
      </c>
      <c r="H50" s="147" t="s">
        <v>860</v>
      </c>
      <c r="I50" s="127"/>
      <c r="J50" s="127"/>
      <c r="K50" s="127"/>
    </row>
    <row r="51" spans="1:11" ht="15.95" customHeight="1">
      <c r="A51" s="152" t="s">
        <v>856</v>
      </c>
      <c r="B51" s="152" t="s">
        <v>553</v>
      </c>
      <c r="C51" s="152" t="s">
        <v>821</v>
      </c>
      <c r="D51" s="152" t="s">
        <v>565</v>
      </c>
      <c r="E51" s="151"/>
      <c r="F51" s="151"/>
      <c r="G51" s="151"/>
      <c r="H51" s="147" t="s">
        <v>861</v>
      </c>
      <c r="I51" s="127"/>
      <c r="J51" s="127"/>
      <c r="K51" s="127"/>
    </row>
    <row r="52" spans="1:11" ht="15.95" customHeight="1">
      <c r="A52" s="152" t="s">
        <v>390</v>
      </c>
      <c r="B52" s="151"/>
      <c r="C52" s="151"/>
      <c r="D52" s="151"/>
      <c r="E52" s="151"/>
      <c r="F52" s="151"/>
      <c r="G52" s="151"/>
      <c r="H52" s="147" t="s">
        <v>862</v>
      </c>
      <c r="I52" s="127"/>
      <c r="J52" s="127"/>
      <c r="K52" s="127"/>
    </row>
    <row r="53" spans="1:11" ht="15.95" customHeight="1">
      <c r="A53" s="152" t="s">
        <v>857</v>
      </c>
      <c r="B53" s="152" t="s">
        <v>200</v>
      </c>
      <c r="C53" s="151"/>
      <c r="D53" s="152" t="s">
        <v>565</v>
      </c>
      <c r="E53" s="152" t="s">
        <v>354</v>
      </c>
      <c r="F53" s="152" t="s">
        <v>597</v>
      </c>
      <c r="G53" s="152" t="s">
        <v>208</v>
      </c>
      <c r="H53" s="147" t="s">
        <v>863</v>
      </c>
      <c r="I53" s="127"/>
      <c r="J53" s="127"/>
      <c r="K53" s="127"/>
    </row>
    <row r="54" spans="1:11" ht="15.95" customHeight="1">
      <c r="A54" s="152" t="s">
        <v>858</v>
      </c>
      <c r="B54" s="152" t="s">
        <v>199</v>
      </c>
      <c r="C54" s="151"/>
      <c r="D54" s="151"/>
      <c r="E54" s="151"/>
      <c r="F54" s="151"/>
      <c r="G54" s="151"/>
      <c r="H54" s="147" t="s">
        <v>864</v>
      </c>
      <c r="I54" s="127"/>
      <c r="J54" s="127"/>
      <c r="K54" s="127"/>
    </row>
    <row r="55" spans="1:11" ht="15.95" customHeight="1">
      <c r="A55" s="152" t="s">
        <v>859</v>
      </c>
      <c r="B55" s="151"/>
      <c r="C55" s="151"/>
      <c r="D55" s="151"/>
      <c r="E55" s="152" t="s">
        <v>266</v>
      </c>
      <c r="F55" s="152" t="s">
        <v>597</v>
      </c>
      <c r="G55" s="151"/>
      <c r="H55" s="147" t="s">
        <v>865</v>
      </c>
      <c r="I55" s="127"/>
      <c r="J55" s="127"/>
      <c r="K55" s="127"/>
    </row>
    <row r="56" spans="1:11" ht="15.95" customHeight="1">
      <c r="A56" s="151"/>
      <c r="B56" s="151"/>
      <c r="C56" s="151"/>
      <c r="D56" s="151"/>
      <c r="E56" s="151"/>
      <c r="F56" s="151"/>
      <c r="G56" s="151"/>
      <c r="H56" s="127"/>
      <c r="I56" s="127"/>
      <c r="J56" s="127"/>
      <c r="K56" s="127"/>
    </row>
    <row r="57" spans="1:11" ht="15.95" customHeight="1">
      <c r="A57" s="151"/>
      <c r="B57" s="151"/>
      <c r="C57" s="151"/>
      <c r="D57" s="151"/>
      <c r="E57" s="151"/>
      <c r="F57" s="151"/>
      <c r="G57" s="151"/>
      <c r="H57" s="127"/>
      <c r="I57" s="127"/>
      <c r="J57" s="127"/>
      <c r="K57" s="127"/>
    </row>
    <row r="58" spans="1:11" ht="15.95" customHeight="1">
      <c r="A58" s="151"/>
      <c r="B58" s="151"/>
      <c r="C58" s="151"/>
      <c r="D58" s="151"/>
      <c r="E58" s="151"/>
      <c r="F58" s="151"/>
      <c r="G58" s="151"/>
      <c r="H58" s="127"/>
      <c r="I58" s="127"/>
      <c r="J58" s="127"/>
      <c r="K58" s="127"/>
    </row>
    <row r="60" spans="1:11">
      <c r="A60" s="1" t="s">
        <v>104</v>
      </c>
      <c r="B60" s="76" t="s">
        <v>106</v>
      </c>
      <c r="C60" s="42">
        <v>3330.5</v>
      </c>
      <c r="D60" s="76" t="s">
        <v>107</v>
      </c>
      <c r="E60" s="42">
        <v>3332.7</v>
      </c>
      <c r="F60" s="16"/>
      <c r="G60" s="36"/>
      <c r="H60" s="131" t="s">
        <v>108</v>
      </c>
      <c r="I60" s="41"/>
    </row>
    <row r="61" spans="1:11">
      <c r="A61" s="1" t="s">
        <v>97</v>
      </c>
      <c r="B61" s="1" t="s">
        <v>103</v>
      </c>
      <c r="C61" s="38"/>
      <c r="D61" s="1" t="s">
        <v>98</v>
      </c>
      <c r="E61" s="38"/>
      <c r="F61" s="1" t="s">
        <v>99</v>
      </c>
      <c r="G61" s="38"/>
      <c r="H61" s="1" t="s">
        <v>100</v>
      </c>
      <c r="I6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7"/>
  <sheetViews>
    <sheetView workbookViewId="0"/>
  </sheetViews>
  <sheetFormatPr defaultRowHeight="12.75"/>
  <cols>
    <col min="1" max="1" width="23.7109375" customWidth="1"/>
    <col min="2" max="2" width="7.85546875" customWidth="1"/>
    <col min="3" max="3" width="6.85546875" customWidth="1"/>
    <col min="4" max="4" width="7" customWidth="1"/>
    <col min="5" max="5" width="8.28515625" customWidth="1"/>
    <col min="6" max="6" width="7.7109375" customWidth="1"/>
    <col min="8" max="8" width="7.5703125" customWidth="1"/>
    <col min="9" max="9" width="6.5703125" customWidth="1"/>
    <col min="11" max="11" width="7.28515625" customWidth="1"/>
    <col min="12" max="12" width="7.140625" customWidth="1"/>
    <col min="13" max="15" width="6.7109375" customWidth="1"/>
    <col min="16" max="16" width="7.5703125" customWidth="1"/>
  </cols>
  <sheetData>
    <row r="1" spans="1:32" ht="18.75" thickBot="1">
      <c r="A1" s="20" t="s">
        <v>35</v>
      </c>
      <c r="G1" s="20" t="s">
        <v>130</v>
      </c>
    </row>
    <row r="2" spans="1:32" ht="13.5" thickBot="1">
      <c r="E2" s="49" t="s">
        <v>64</v>
      </c>
      <c r="F2" s="50"/>
      <c r="G2" s="50"/>
      <c r="H2" s="50"/>
      <c r="M2" s="1" t="s">
        <v>34</v>
      </c>
      <c r="N2" s="1"/>
      <c r="O2" s="1"/>
      <c r="P2" s="1"/>
      <c r="W2" t="s">
        <v>82</v>
      </c>
      <c r="AC2" s="59" t="s">
        <v>17</v>
      </c>
      <c r="AD2" s="60" t="s">
        <v>31</v>
      </c>
      <c r="AE2" s="60" t="s">
        <v>32</v>
      </c>
      <c r="AF2" s="61" t="s">
        <v>33</v>
      </c>
    </row>
    <row r="3" spans="1:32" ht="13.5" thickBot="1">
      <c r="A3" s="1" t="s">
        <v>36</v>
      </c>
      <c r="I3" s="1" t="s">
        <v>62</v>
      </c>
      <c r="M3" s="59" t="s">
        <v>17</v>
      </c>
      <c r="N3" s="60" t="s">
        <v>31</v>
      </c>
      <c r="O3" s="60" t="s">
        <v>32</v>
      </c>
      <c r="P3" s="61" t="s">
        <v>33</v>
      </c>
      <c r="W3" s="98">
        <v>1.29</v>
      </c>
      <c r="X3" t="s">
        <v>83</v>
      </c>
      <c r="AC3" s="62">
        <v>8.1999999999999993</v>
      </c>
      <c r="AD3" s="43">
        <v>800</v>
      </c>
      <c r="AE3" s="43">
        <v>2</v>
      </c>
      <c r="AF3" s="63">
        <v>4.0999999999999996</v>
      </c>
    </row>
    <row r="4" spans="1:32">
      <c r="A4" s="24" t="s">
        <v>37</v>
      </c>
      <c r="B4" s="25"/>
      <c r="C4" s="26" t="s">
        <v>43</v>
      </c>
      <c r="D4" s="27"/>
      <c r="E4" s="27"/>
      <c r="F4" s="27"/>
      <c r="G4" s="28"/>
      <c r="I4" s="87" t="s">
        <v>71</v>
      </c>
      <c r="J4" s="56"/>
      <c r="K4" s="28"/>
      <c r="M4" s="62">
        <v>8</v>
      </c>
      <c r="N4" s="43">
        <v>1400</v>
      </c>
      <c r="O4" s="43">
        <v>5</v>
      </c>
      <c r="P4" s="63">
        <v>1.6</v>
      </c>
      <c r="W4">
        <v>3.78541178</v>
      </c>
      <c r="X4" t="s">
        <v>84</v>
      </c>
      <c r="AC4" s="62">
        <v>9.6</v>
      </c>
      <c r="AD4" s="43">
        <v>1000</v>
      </c>
      <c r="AE4" s="43">
        <v>6</v>
      </c>
      <c r="AF4" s="63">
        <v>1.6</v>
      </c>
    </row>
    <row r="5" spans="1:32">
      <c r="A5" s="29" t="s">
        <v>39</v>
      </c>
      <c r="B5" s="22"/>
      <c r="C5" s="23" t="s">
        <v>44</v>
      </c>
      <c r="D5" s="16"/>
      <c r="E5" s="16"/>
      <c r="F5" s="16"/>
      <c r="G5" s="30"/>
      <c r="I5" s="31" t="s">
        <v>72</v>
      </c>
      <c r="J5" s="36"/>
      <c r="K5" s="30"/>
      <c r="M5" s="62">
        <v>9</v>
      </c>
      <c r="N5" s="43">
        <v>1600</v>
      </c>
      <c r="O5" s="43">
        <v>7</v>
      </c>
      <c r="P5" s="63">
        <v>1.29</v>
      </c>
      <c r="W5" s="98">
        <f>W3*W4</f>
        <v>4.8831811961999998</v>
      </c>
      <c r="X5" t="s">
        <v>85</v>
      </c>
      <c r="AC5" s="62">
        <v>10</v>
      </c>
      <c r="AD5" s="43">
        <v>1200</v>
      </c>
      <c r="AE5" s="43">
        <v>9</v>
      </c>
      <c r="AF5" s="63">
        <v>1.1000000000000001</v>
      </c>
    </row>
    <row r="6" spans="1:32">
      <c r="A6" s="29" t="s">
        <v>38</v>
      </c>
      <c r="B6" s="22"/>
      <c r="C6" s="21" t="s">
        <v>40</v>
      </c>
      <c r="D6" s="16"/>
      <c r="E6" s="16"/>
      <c r="F6" s="16"/>
      <c r="G6" s="30"/>
      <c r="I6" s="88" t="s">
        <v>73</v>
      </c>
      <c r="J6" s="36"/>
      <c r="K6" s="30"/>
      <c r="M6" s="62">
        <v>11.8</v>
      </c>
      <c r="N6" s="43">
        <v>2000</v>
      </c>
      <c r="O6" s="43">
        <v>14</v>
      </c>
      <c r="P6" s="63">
        <v>0.84</v>
      </c>
      <c r="W6">
        <v>1.32</v>
      </c>
      <c r="X6" t="s">
        <v>86</v>
      </c>
      <c r="AC6" s="62">
        <v>11.4</v>
      </c>
      <c r="AD6" s="43">
        <v>1400</v>
      </c>
      <c r="AE6" s="43">
        <v>18</v>
      </c>
      <c r="AF6" s="63">
        <v>0.64</v>
      </c>
    </row>
    <row r="7" spans="1:32">
      <c r="A7" s="31" t="s">
        <v>67</v>
      </c>
      <c r="B7" s="22"/>
      <c r="C7" s="23" t="s">
        <v>41</v>
      </c>
      <c r="D7" s="16"/>
      <c r="E7" s="16"/>
      <c r="F7" s="16"/>
      <c r="G7" s="30"/>
      <c r="I7" s="57"/>
      <c r="J7" s="36"/>
      <c r="K7" s="30"/>
      <c r="M7" s="62">
        <v>15</v>
      </c>
      <c r="N7" s="43">
        <v>2400</v>
      </c>
      <c r="O7" s="43">
        <v>24</v>
      </c>
      <c r="P7" s="63">
        <v>0.625</v>
      </c>
      <c r="W7" s="98">
        <f>W5/W6</f>
        <v>3.6993796940909087</v>
      </c>
      <c r="X7" s="14" t="s">
        <v>87</v>
      </c>
      <c r="AC7" s="62">
        <v>12.4</v>
      </c>
      <c r="AD7" s="43">
        <v>1600</v>
      </c>
      <c r="AE7" s="43">
        <v>27</v>
      </c>
      <c r="AF7" s="63">
        <v>0.46</v>
      </c>
    </row>
    <row r="8" spans="1:32" ht="13.5" thickBot="1">
      <c r="A8" s="54" t="s">
        <v>50</v>
      </c>
      <c r="B8" s="22"/>
      <c r="C8" s="23" t="s">
        <v>42</v>
      </c>
      <c r="D8" s="16"/>
      <c r="E8" s="16"/>
      <c r="F8" s="16"/>
      <c r="G8" s="30"/>
      <c r="I8" s="89">
        <v>3.45</v>
      </c>
      <c r="J8" s="58" t="s">
        <v>74</v>
      </c>
      <c r="K8" s="35"/>
      <c r="M8" s="62"/>
      <c r="N8" s="43"/>
      <c r="O8" s="43"/>
      <c r="P8" s="63"/>
      <c r="AC8" s="62">
        <v>13.6</v>
      </c>
      <c r="AD8" s="43">
        <v>1700</v>
      </c>
      <c r="AE8" s="43">
        <v>31</v>
      </c>
      <c r="AF8" s="63">
        <v>0.44</v>
      </c>
    </row>
    <row r="9" spans="1:32" ht="13.5" thickBot="1">
      <c r="A9" s="31" t="s">
        <v>68</v>
      </c>
      <c r="B9" s="22"/>
      <c r="C9" s="23" t="s">
        <v>60</v>
      </c>
      <c r="D9" s="16"/>
      <c r="E9" s="16"/>
      <c r="F9" s="16"/>
      <c r="G9" s="30"/>
      <c r="M9" s="62"/>
      <c r="N9" s="43"/>
      <c r="O9" s="43"/>
      <c r="P9" s="63"/>
      <c r="AC9" s="80">
        <v>14.9</v>
      </c>
      <c r="AD9" s="81">
        <v>1800</v>
      </c>
      <c r="AE9" s="81">
        <v>35</v>
      </c>
      <c r="AF9" s="82">
        <v>0.43</v>
      </c>
    </row>
    <row r="10" spans="1:32">
      <c r="A10" s="54" t="s">
        <v>58</v>
      </c>
      <c r="B10" s="22"/>
      <c r="C10" s="53" t="s">
        <v>61</v>
      </c>
      <c r="D10" s="16"/>
      <c r="E10" s="16"/>
      <c r="F10" s="16"/>
      <c r="G10" s="30"/>
      <c r="J10" s="68" t="s">
        <v>63</v>
      </c>
      <c r="K10" s="69">
        <v>8</v>
      </c>
      <c r="M10" s="106"/>
      <c r="N10" s="105"/>
      <c r="O10" s="105"/>
      <c r="P10" s="107"/>
      <c r="AC10" s="6">
        <v>16.149999999999999</v>
      </c>
      <c r="AD10" s="101">
        <v>1900</v>
      </c>
      <c r="AE10" s="6">
        <v>39</v>
      </c>
      <c r="AF10" s="99">
        <v>0.41500000000000004</v>
      </c>
    </row>
    <row r="11" spans="1:32" ht="13.5" thickBot="1">
      <c r="A11" s="32"/>
      <c r="B11" s="33"/>
      <c r="C11" s="55" t="s">
        <v>69</v>
      </c>
      <c r="D11" s="34"/>
      <c r="E11" s="34"/>
      <c r="F11" s="34"/>
      <c r="G11" s="35"/>
      <c r="H11" t="s">
        <v>109</v>
      </c>
      <c r="M11" s="108"/>
      <c r="N11" s="109"/>
      <c r="O11" s="110"/>
      <c r="P11" s="111"/>
      <c r="AC11" s="79">
        <v>17.399999999999999</v>
      </c>
      <c r="AD11" s="79">
        <v>2000</v>
      </c>
      <c r="AE11" s="79">
        <v>43</v>
      </c>
      <c r="AF11" s="100">
        <v>0.4</v>
      </c>
    </row>
    <row r="12" spans="1:32" ht="15.75">
      <c r="A12" s="16"/>
      <c r="B12" s="16"/>
      <c r="C12" s="36"/>
      <c r="D12" s="16"/>
      <c r="E12" s="16"/>
      <c r="F12" s="16"/>
      <c r="G12" s="16"/>
      <c r="H12" s="14"/>
      <c r="M12" s="102" t="s">
        <v>56</v>
      </c>
      <c r="N12" s="103" t="s">
        <v>81</v>
      </c>
      <c r="O12" s="103" t="s">
        <v>77</v>
      </c>
      <c r="P12" s="104" t="s">
        <v>80</v>
      </c>
      <c r="R12" t="s">
        <v>57</v>
      </c>
      <c r="S12" t="s">
        <v>65</v>
      </c>
      <c r="T12" s="14" t="s">
        <v>78</v>
      </c>
      <c r="U12" s="14" t="s">
        <v>79</v>
      </c>
    </row>
    <row r="13" spans="1:32">
      <c r="A13" s="16"/>
      <c r="B13" s="16"/>
      <c r="C13" s="36"/>
      <c r="D13" s="16"/>
      <c r="E13" s="16"/>
      <c r="F13" s="16"/>
      <c r="G13" s="16"/>
      <c r="H13" s="14" t="s">
        <v>88</v>
      </c>
      <c r="J13" s="69">
        <v>2.9</v>
      </c>
      <c r="K13" s="14" t="s">
        <v>89</v>
      </c>
      <c r="L13" s="50">
        <v>11.8</v>
      </c>
      <c r="M13" s="29" t="s">
        <v>57</v>
      </c>
      <c r="N13" s="93">
        <f>P13-O13</f>
        <v>1062.5520833333335</v>
      </c>
      <c r="O13" s="93">
        <f>T13</f>
        <v>0</v>
      </c>
      <c r="P13" s="94">
        <f>R13</f>
        <v>1062.5520833333335</v>
      </c>
      <c r="R13" s="66">
        <f>SUM(R15:R393)</f>
        <v>1062.5520833333335</v>
      </c>
      <c r="T13" s="66">
        <f>SUM(T15:T393)</f>
        <v>0</v>
      </c>
    </row>
    <row r="14" spans="1:32" ht="13.5" thickBot="1">
      <c r="M14" s="32" t="s">
        <v>65</v>
      </c>
      <c r="N14" s="95">
        <f>P14-O14</f>
        <v>307.98611111111109</v>
      </c>
      <c r="O14" s="95">
        <f>U14</f>
        <v>0</v>
      </c>
      <c r="P14" s="96">
        <f>S14</f>
        <v>307.98611111111109</v>
      </c>
      <c r="S14" s="71">
        <f>SUM(S15:S393)</f>
        <v>307.98611111111109</v>
      </c>
      <c r="U14" s="71">
        <f>SUM(U15:U393)</f>
        <v>0</v>
      </c>
    </row>
    <row r="15" spans="1:32" ht="12.75" customHeight="1">
      <c r="A15" s="37" t="s">
        <v>113</v>
      </c>
      <c r="G15" s="14" t="s">
        <v>66</v>
      </c>
      <c r="J15" s="74" t="s">
        <v>70</v>
      </c>
      <c r="X15" s="84"/>
    </row>
    <row r="16" spans="1:32">
      <c r="A16" s="38" t="s">
        <v>45</v>
      </c>
      <c r="B16" s="39" t="s">
        <v>46</v>
      </c>
      <c r="C16" s="39" t="s">
        <v>47</v>
      </c>
      <c r="D16" s="39" t="s">
        <v>48</v>
      </c>
      <c r="E16" s="39" t="s">
        <v>49</v>
      </c>
      <c r="F16" s="39" t="s">
        <v>51</v>
      </c>
      <c r="G16" s="39" t="s">
        <v>12</v>
      </c>
      <c r="H16" s="39" t="s">
        <v>59</v>
      </c>
      <c r="I16" s="39" t="s">
        <v>53</v>
      </c>
      <c r="J16" s="39" t="s">
        <v>52</v>
      </c>
      <c r="K16" s="39" t="s">
        <v>54</v>
      </c>
      <c r="L16" s="39" t="s">
        <v>31</v>
      </c>
      <c r="M16" s="39" t="s">
        <v>32</v>
      </c>
      <c r="N16" s="39" t="s">
        <v>55</v>
      </c>
      <c r="O16" s="39" t="s">
        <v>56</v>
      </c>
      <c r="P16" s="39" t="s">
        <v>57</v>
      </c>
    </row>
    <row r="17" spans="1:23">
      <c r="A17" s="40" t="s">
        <v>30</v>
      </c>
      <c r="B17" s="45"/>
      <c r="C17" s="45"/>
      <c r="D17" s="45"/>
      <c r="E17" s="45"/>
      <c r="F17" s="45"/>
      <c r="G17" s="51">
        <v>0.5</v>
      </c>
      <c r="H17" s="45"/>
      <c r="I17" s="45"/>
      <c r="J17" s="46" t="str">
        <f>IF(I19="G",IF(ISBLANK(A18),J18,J18-F18),"")</f>
        <v/>
      </c>
      <c r="K17" s="45"/>
      <c r="L17" s="45"/>
      <c r="M17" s="45"/>
      <c r="N17" s="45"/>
      <c r="O17" s="45"/>
      <c r="P17" s="64">
        <f>SUM(P18:P21)</f>
        <v>34.5</v>
      </c>
      <c r="R17" s="66">
        <f>P17</f>
        <v>34.5</v>
      </c>
      <c r="S17" s="70">
        <f>SUM(O18:O21)</f>
        <v>10</v>
      </c>
    </row>
    <row r="18" spans="1:23">
      <c r="A18" s="42" t="s">
        <v>129</v>
      </c>
      <c r="B18" s="48">
        <v>16</v>
      </c>
      <c r="C18" s="48">
        <f>IF(ISBLANK(A18),"",Plan_Speed)</f>
        <v>8</v>
      </c>
      <c r="D18" s="48"/>
      <c r="E18" s="43">
        <f>IF(ISBLANK(A18),"",C18+D18)</f>
        <v>8</v>
      </c>
      <c r="F18" s="44">
        <f>IF(ISBLANK(A18),"",(B18/E18)/24)</f>
        <v>8.3333333333333329E-2</v>
      </c>
      <c r="G18" s="46">
        <f>IF(I19="G","",IF(ISBLANK(A18),"",G17+H17+F18))</f>
        <v>0.58333333333333337</v>
      </c>
      <c r="H18" s="52"/>
      <c r="I18" s="43"/>
      <c r="J18" s="46" t="str">
        <f>IF(I19="G",K19-F19-H18,"")</f>
        <v/>
      </c>
      <c r="K18" s="46"/>
      <c r="L18" s="43">
        <f>IF(ISBLANK($A18),"",VLOOKUP($C18,Knots,2,FALSE))</f>
        <v>1400</v>
      </c>
      <c r="M18" s="43">
        <f>IF(ISBLANK($A18),"",VLOOKUP($C18,Knots,3,FALSE))</f>
        <v>5</v>
      </c>
      <c r="N18" s="43">
        <f>IF(ISBLANK($A18),"",VLOOKUP($C18,Knots,4,FALSE))</f>
        <v>1.6</v>
      </c>
      <c r="O18" s="47">
        <f>IF(ISBLANK(A18),"",M18*(F18*24))</f>
        <v>10</v>
      </c>
      <c r="P18" s="65">
        <f>IF(ISBLANK(A18),"",O18*$I$8)</f>
        <v>34.5</v>
      </c>
    </row>
    <row r="19" spans="1:23">
      <c r="A19" s="42"/>
      <c r="B19" s="72"/>
      <c r="C19" s="48" t="str">
        <f>IF(ISBLANK(A19),"",Plan_Speed)</f>
        <v/>
      </c>
      <c r="D19" s="48"/>
      <c r="E19" s="43" t="str">
        <f>IF(ISBLANK(A19),"",C19+D19)</f>
        <v/>
      </c>
      <c r="F19" s="44" t="str">
        <f>IF(ISBLANK(A19),"",(B19/E19)/24)</f>
        <v/>
      </c>
      <c r="G19" s="46" t="str">
        <f>IF(I19="G","",IF(ISBLANK(A19),"",G18+H18+F19))</f>
        <v/>
      </c>
      <c r="H19" s="52"/>
      <c r="I19" s="48"/>
      <c r="J19" s="73" t="str">
        <f>IF(I19="G",K19,"")</f>
        <v/>
      </c>
      <c r="K19" s="52"/>
      <c r="L19" s="112" t="str">
        <f>IF(ISBLANK($A19),"",VLOOKUP($C19,Knots,2,FALSE))</f>
        <v/>
      </c>
      <c r="M19" s="112" t="str">
        <f>IF(ISBLANK($A19),"",VLOOKUP($C19,Knots,3,FALSE))</f>
        <v/>
      </c>
      <c r="N19" s="112" t="str">
        <f>IF(ISBLANK($A19),"",VLOOKUP($C19,Knots,4,FALSE))</f>
        <v/>
      </c>
      <c r="O19" s="113" t="str">
        <f>IF(ISBLANK(A19),"",M19*(F19*24))</f>
        <v/>
      </c>
      <c r="P19" s="114" t="str">
        <f>IF(ISBLANK(A19),"",O19*$I$8)</f>
        <v/>
      </c>
      <c r="T19" s="66"/>
      <c r="U19" s="70"/>
    </row>
    <row r="20" spans="1:23">
      <c r="A20" s="42"/>
      <c r="B20" s="72"/>
      <c r="C20" s="48" t="str">
        <f>IF(ISBLANK(A20),"",Plan_Speed)</f>
        <v/>
      </c>
      <c r="D20" s="48"/>
      <c r="E20" s="43" t="str">
        <f>IF(ISBLANK(A20),"",C20+D20)</f>
        <v/>
      </c>
      <c r="F20" s="44" t="str">
        <f>IF(ISBLANK(A20),"",(B20/E20)/24)</f>
        <v/>
      </c>
      <c r="G20" s="46" t="str">
        <f>IF(I19="G","",IF(ISBLANK(A20),"",G19+H19+F20))</f>
        <v/>
      </c>
      <c r="H20" s="52"/>
      <c r="I20" s="43"/>
      <c r="J20" s="46" t="str">
        <f>IF(ISBLANK(I19),"",IF(ISBLANK(A20),"",J19+H20+F20))</f>
        <v/>
      </c>
      <c r="K20" s="46"/>
      <c r="L20" s="43" t="str">
        <f>IF(ISBLANK($A20),"",VLOOKUP($C20,Knots,2,FALSE))</f>
        <v/>
      </c>
      <c r="M20" s="43" t="str">
        <f>IF(ISBLANK($A20),"",VLOOKUP($C20,Knots,3,FALSE))</f>
        <v/>
      </c>
      <c r="N20" s="43" t="str">
        <f>IF(ISBLANK($A20),"",VLOOKUP($C20,Knots,4,FALSE))</f>
        <v/>
      </c>
      <c r="O20" s="47" t="str">
        <f>IF(ISBLANK(A20),"",M20*(F20*24))</f>
        <v/>
      </c>
      <c r="P20" s="65" t="str">
        <f>IF(ISBLANK(A20),"",O20*$I$8)</f>
        <v/>
      </c>
      <c r="V20" s="75"/>
      <c r="W20" s="79"/>
    </row>
    <row r="21" spans="1:23">
      <c r="A21" s="42"/>
      <c r="B21" s="48"/>
      <c r="C21" s="48" t="str">
        <f>IF(ISBLANK(A21),"",Plan_Speed)</f>
        <v/>
      </c>
      <c r="D21" s="48"/>
      <c r="E21" s="43" t="str">
        <f>IF(ISBLANK(A21),"",C21+D21)</f>
        <v/>
      </c>
      <c r="F21" s="44" t="str">
        <f>IF(ISBLANK(A21),"",(B21/E21)/24)</f>
        <v/>
      </c>
      <c r="G21" s="46" t="str">
        <f>IF(I19="G","",IF(ISBLANK(A21),"",G20+H20+F21))</f>
        <v/>
      </c>
      <c r="H21" s="52"/>
      <c r="I21" s="43"/>
      <c r="J21" s="46" t="str">
        <f>IF(ISBLANK(I19),"",IF(ISBLANK(A21),"",J20+H21+F21))</f>
        <v/>
      </c>
      <c r="K21" s="46"/>
      <c r="L21" s="43" t="str">
        <f>IF(ISBLANK($A21),"",VLOOKUP($C21,Knots,2,FALSE))</f>
        <v/>
      </c>
      <c r="M21" s="43" t="str">
        <f>IF(ISBLANK($A21),"",VLOOKUP($C21,Knots,3,FALSE))</f>
        <v/>
      </c>
      <c r="N21" s="43" t="str">
        <f>IF(ISBLANK($A21),"",VLOOKUP($C21,Knots,4,FALSE))</f>
        <v/>
      </c>
      <c r="O21" s="47" t="str">
        <f>IF(ISBLANK(A21),"",M21*(F21*24))</f>
        <v/>
      </c>
      <c r="P21" s="65" t="str">
        <f>IF(ISBLANK(A21),"",O21*$I$8)</f>
        <v/>
      </c>
    </row>
    <row r="22" spans="1:23">
      <c r="A22" s="92" t="s">
        <v>76</v>
      </c>
      <c r="B22">
        <f>SUM(B16:B21)</f>
        <v>16</v>
      </c>
      <c r="E22" s="67" t="s">
        <v>75</v>
      </c>
      <c r="F22" s="77">
        <f>SUM(F17:F21)</f>
        <v>8.3333333333333329E-2</v>
      </c>
    </row>
    <row r="24" spans="1:23" ht="15">
      <c r="A24" s="37" t="s">
        <v>114</v>
      </c>
      <c r="G24" s="14" t="s">
        <v>66</v>
      </c>
      <c r="J24" s="74" t="s">
        <v>70</v>
      </c>
    </row>
    <row r="25" spans="1:23">
      <c r="A25" s="38" t="s">
        <v>45</v>
      </c>
      <c r="B25" s="39" t="s">
        <v>46</v>
      </c>
      <c r="C25" s="39" t="s">
        <v>47</v>
      </c>
      <c r="D25" s="39" t="s">
        <v>48</v>
      </c>
      <c r="E25" s="39" t="s">
        <v>49</v>
      </c>
      <c r="F25" s="39" t="s">
        <v>51</v>
      </c>
      <c r="G25" s="39" t="s">
        <v>12</v>
      </c>
      <c r="H25" s="39" t="s">
        <v>59</v>
      </c>
      <c r="I25" s="39" t="s">
        <v>53</v>
      </c>
      <c r="J25" s="39" t="s">
        <v>52</v>
      </c>
      <c r="K25" s="39" t="s">
        <v>54</v>
      </c>
      <c r="L25" s="39" t="s">
        <v>31</v>
      </c>
      <c r="M25" s="39" t="s">
        <v>32</v>
      </c>
      <c r="N25" s="39" t="s">
        <v>55</v>
      </c>
      <c r="O25" s="39" t="s">
        <v>56</v>
      </c>
      <c r="P25" s="39" t="s">
        <v>57</v>
      </c>
    </row>
    <row r="26" spans="1:23">
      <c r="A26" s="42" t="s">
        <v>129</v>
      </c>
      <c r="B26" s="45"/>
      <c r="C26" s="45"/>
      <c r="D26" s="45"/>
      <c r="E26" s="45"/>
      <c r="F26" s="45"/>
      <c r="G26" s="51"/>
      <c r="H26" s="45"/>
      <c r="I26" s="45"/>
      <c r="J26" s="46">
        <f>IF(I28="G",IF(ISBLANK(A27),J27,J27-F27),"")</f>
        <v>0.35902777777777772</v>
      </c>
      <c r="K26" s="45"/>
      <c r="L26" s="45"/>
      <c r="M26" s="45"/>
      <c r="N26" s="45"/>
      <c r="O26" s="45"/>
      <c r="P26" s="64">
        <f>SUM(P27:P31)</f>
        <v>66.84375</v>
      </c>
      <c r="R26" s="66">
        <f>P26</f>
        <v>66.84375</v>
      </c>
      <c r="S26" s="70">
        <f>SUM(O27:O31)</f>
        <v>19.375</v>
      </c>
    </row>
    <row r="27" spans="1:23">
      <c r="A27" s="15"/>
      <c r="B27" s="48"/>
      <c r="C27" s="48" t="str">
        <f>IF(ISBLANK(A27),"",Plan_Speed)</f>
        <v/>
      </c>
      <c r="D27" s="48"/>
      <c r="E27" s="43" t="str">
        <f>IF(ISBLANK(A27),"",C27+D27)</f>
        <v/>
      </c>
      <c r="F27" s="44" t="str">
        <f>IF(ISBLANK(A27),"",(B27/E27)/24)</f>
        <v/>
      </c>
      <c r="G27" s="46" t="str">
        <f>IF(I28="G","",IF(ISBLANK(A27),"",G26+H26+F27))</f>
        <v/>
      </c>
      <c r="H27" s="52"/>
      <c r="I27" s="43"/>
      <c r="J27" s="46">
        <f>IF(I28="G",K28-F28-H27,"")</f>
        <v>0.35902777777777772</v>
      </c>
      <c r="K27" s="46"/>
      <c r="L27" s="43" t="str">
        <f>IF(ISBLANK($A27),"",VLOOKUP($C27,Knots,2,FALSE))</f>
        <v/>
      </c>
      <c r="M27" s="43" t="str">
        <f>IF(ISBLANK($A27),"",VLOOKUP($C27,Knots,3,FALSE))</f>
        <v/>
      </c>
      <c r="N27" s="43" t="str">
        <f>IF(ISBLANK($A27),"",VLOOKUP($C27,Knots,4,FALSE))</f>
        <v/>
      </c>
      <c r="O27" s="47" t="str">
        <f>IF(ISBLANK(A27),"",M27*(F27*24))</f>
        <v/>
      </c>
      <c r="P27" s="65" t="str">
        <f>IF(ISBLANK(A27),"",O27*$I$8)</f>
        <v/>
      </c>
    </row>
    <row r="28" spans="1:23">
      <c r="A28" s="15" t="s">
        <v>144</v>
      </c>
      <c r="B28" s="48">
        <v>28</v>
      </c>
      <c r="C28" s="48">
        <f>IF(ISBLANK(A28),"",Plan_Speed)</f>
        <v>8</v>
      </c>
      <c r="D28" s="48"/>
      <c r="E28" s="43">
        <f>IF(ISBLANK(A28),"",C28+D28)</f>
        <v>8</v>
      </c>
      <c r="F28" s="44">
        <f>IF(ISBLANK(A28),"",(B28/E28)/24)</f>
        <v>0.14583333333333334</v>
      </c>
      <c r="G28" s="46" t="str">
        <f>IF(I28="G","",IF(ISBLANK(A28),"",G27+H27+F28))</f>
        <v/>
      </c>
      <c r="H28" s="52"/>
      <c r="I28" s="72" t="s">
        <v>53</v>
      </c>
      <c r="J28" s="73">
        <f>IF(I28="G",K28,"")</f>
        <v>0.50486111111111109</v>
      </c>
      <c r="K28" s="52">
        <v>0.50486111111111109</v>
      </c>
      <c r="L28" s="43">
        <f>IF(ISBLANK($A28),"",VLOOKUP($C28,Knots,2,FALSE))</f>
        <v>1400</v>
      </c>
      <c r="M28" s="43">
        <f>IF(ISBLANK($A28),"",VLOOKUP($C28,Knots,3,FALSE))</f>
        <v>5</v>
      </c>
      <c r="N28" s="43">
        <f>IF(ISBLANK($A28),"",VLOOKUP($C28,Knots,4,FALSE))</f>
        <v>1.6</v>
      </c>
      <c r="O28" s="47">
        <f>IF(ISBLANK(A28),"",M28*(F28*24))</f>
        <v>17.5</v>
      </c>
      <c r="P28" s="65">
        <f>IF(ISBLANK(A28),"",O28*$I$8)</f>
        <v>60.375</v>
      </c>
    </row>
    <row r="29" spans="1:23">
      <c r="A29" s="15" t="s">
        <v>131</v>
      </c>
      <c r="B29" s="72">
        <v>3</v>
      </c>
      <c r="C29" s="48">
        <f>IF(ISBLANK(A29),"",Plan_Speed)</f>
        <v>8</v>
      </c>
      <c r="D29" s="48"/>
      <c r="E29" s="43">
        <f>IF(ISBLANK(A29),"",C29+D29)</f>
        <v>8</v>
      </c>
      <c r="F29" s="44">
        <f>IF(ISBLANK(A29),"",(B29/E29)/24)</f>
        <v>1.5625E-2</v>
      </c>
      <c r="G29" s="46" t="str">
        <f>IF(I28="G","",IF(ISBLANK(A29),"",G28+H28+F29))</f>
        <v/>
      </c>
      <c r="H29" s="52"/>
      <c r="I29" s="43"/>
      <c r="J29" s="46">
        <f>IF(ISBLANK(I28),"",IF(ISBLANK(A29),"",J28+H29+F29))</f>
        <v>0.52048611111111109</v>
      </c>
      <c r="K29" s="46"/>
      <c r="L29" s="112">
        <f>IF(ISBLANK($A29),"",VLOOKUP($C29,Knots,2,FALSE))</f>
        <v>1400</v>
      </c>
      <c r="M29" s="112">
        <f>IF(ISBLANK($A29),"",VLOOKUP($C29,Knots,3,FALSE))</f>
        <v>5</v>
      </c>
      <c r="N29" s="112">
        <f>IF(ISBLANK($A29),"",VLOOKUP($C29,Knots,4,FALSE))</f>
        <v>1.6</v>
      </c>
      <c r="O29" s="113">
        <f>IF(ISBLANK(A29),"",M29*(F29*24))</f>
        <v>1.875</v>
      </c>
      <c r="P29" s="114">
        <f>IF(ISBLANK(A29),"",O29*$I$8)</f>
        <v>6.46875</v>
      </c>
      <c r="T29" s="66"/>
      <c r="U29" s="70"/>
    </row>
    <row r="30" spans="1:23">
      <c r="A30" s="15"/>
      <c r="B30" s="48"/>
      <c r="C30" s="48" t="str">
        <f>IF(ISBLANK(A30),"",Plan_Speed)</f>
        <v/>
      </c>
      <c r="D30" s="48"/>
      <c r="E30" s="43" t="str">
        <f>IF(ISBLANK(A30),"",C30+D30)</f>
        <v/>
      </c>
      <c r="F30" s="44" t="str">
        <f>IF(ISBLANK(A30),"",(B30/E30)/24)</f>
        <v/>
      </c>
      <c r="G30" s="46" t="str">
        <f>IF(I28="G","",IF(ISBLANK(A30),"",G29+H29+F30))</f>
        <v/>
      </c>
      <c r="H30" s="52"/>
      <c r="I30" s="43"/>
      <c r="J30" s="46" t="str">
        <f>IF(ISBLANK(I28),"",IF(ISBLANK(A30),"",J29+H30+F30))</f>
        <v/>
      </c>
      <c r="K30" s="46"/>
      <c r="L30" s="43" t="str">
        <f>IF(ISBLANK($A30),"",VLOOKUP($C30,Knots,2,FALSE))</f>
        <v/>
      </c>
      <c r="M30" s="43" t="str">
        <f>IF(ISBLANK($A30),"",VLOOKUP($C30,Knots,3,FALSE))</f>
        <v/>
      </c>
      <c r="N30" s="43" t="str">
        <f>IF(ISBLANK($A30),"",VLOOKUP($C30,Knots,4,FALSE))</f>
        <v/>
      </c>
      <c r="O30" s="47" t="str">
        <f>IF(ISBLANK(A30),"",M30*(F30*24))</f>
        <v/>
      </c>
      <c r="P30" s="65" t="str">
        <f>IF(ISBLANK(A30),"",O30*$I$8)</f>
        <v/>
      </c>
    </row>
    <row r="31" spans="1:23">
      <c r="A31" s="41"/>
      <c r="B31" s="48"/>
      <c r="C31" s="48" t="str">
        <f>IF(ISBLANK(A31),"",Plan_Speed)</f>
        <v/>
      </c>
      <c r="D31" s="48"/>
      <c r="E31" s="43" t="str">
        <f>IF(ISBLANK(A31),"",C31+D31)</f>
        <v/>
      </c>
      <c r="F31" s="44" t="str">
        <f>IF(ISBLANK(A31),"",(B31/E31)/24)</f>
        <v/>
      </c>
      <c r="G31" s="46" t="str">
        <f>IF(I28="G","",IF(ISBLANK(A31),"",G29+H29+F31))</f>
        <v/>
      </c>
      <c r="H31" s="52"/>
      <c r="I31" s="43"/>
      <c r="J31" s="46" t="str">
        <f>IF(ISBLANK(I28),"",IF(ISBLANK(A31),"",J29+H31+F31))</f>
        <v/>
      </c>
      <c r="K31" s="46"/>
      <c r="L31" s="43" t="str">
        <f>IF(ISBLANK($A31),"",VLOOKUP($C31,Knots,2,FALSE))</f>
        <v/>
      </c>
      <c r="M31" s="43" t="str">
        <f>IF(ISBLANK($A31),"",VLOOKUP($C31,Knots,3,FALSE))</f>
        <v/>
      </c>
      <c r="N31" s="43" t="str">
        <f>IF(ISBLANK($A31),"",VLOOKUP($C31,Knots,4,FALSE))</f>
        <v/>
      </c>
      <c r="O31" s="47" t="str">
        <f>IF(ISBLANK(A31),"",M31*(F31*24))</f>
        <v/>
      </c>
      <c r="P31" s="65" t="str">
        <f>IF(ISBLANK(A31),"",O31*$I$8)</f>
        <v/>
      </c>
    </row>
    <row r="32" spans="1:23">
      <c r="A32" s="92" t="s">
        <v>76</v>
      </c>
      <c r="B32">
        <f>SUM(B26:B31)</f>
        <v>31</v>
      </c>
      <c r="E32" s="67" t="s">
        <v>75</v>
      </c>
      <c r="F32" s="77">
        <f>SUM(F27:F31)</f>
        <v>0.16145833333333334</v>
      </c>
    </row>
    <row r="34" spans="1:21" ht="15">
      <c r="A34" s="37" t="s">
        <v>115</v>
      </c>
      <c r="G34" s="14" t="s">
        <v>66</v>
      </c>
      <c r="J34" s="74" t="s">
        <v>70</v>
      </c>
    </row>
    <row r="35" spans="1:21">
      <c r="A35" s="38" t="s">
        <v>45</v>
      </c>
      <c r="B35" s="39" t="s">
        <v>46</v>
      </c>
      <c r="C35" s="39" t="s">
        <v>47</v>
      </c>
      <c r="D35" s="39" t="s">
        <v>48</v>
      </c>
      <c r="E35" s="39" t="s">
        <v>49</v>
      </c>
      <c r="F35" s="39" t="s">
        <v>51</v>
      </c>
      <c r="G35" s="39" t="s">
        <v>12</v>
      </c>
      <c r="H35" s="39" t="s">
        <v>59</v>
      </c>
      <c r="I35" s="39" t="s">
        <v>53</v>
      </c>
      <c r="J35" s="39" t="s">
        <v>52</v>
      </c>
      <c r="K35" s="39" t="s">
        <v>54</v>
      </c>
      <c r="L35" s="39" t="s">
        <v>31</v>
      </c>
      <c r="M35" s="39" t="s">
        <v>32</v>
      </c>
      <c r="N35" s="39" t="s">
        <v>55</v>
      </c>
      <c r="O35" s="39" t="s">
        <v>56</v>
      </c>
      <c r="P35" s="39" t="s">
        <v>57</v>
      </c>
    </row>
    <row r="36" spans="1:21">
      <c r="A36" s="15" t="s">
        <v>131</v>
      </c>
      <c r="B36" s="45"/>
      <c r="C36" s="45"/>
      <c r="D36" s="45"/>
      <c r="E36" s="45"/>
      <c r="F36" s="45"/>
      <c r="G36" s="51">
        <v>0.33333333333333331</v>
      </c>
      <c r="H36" s="45"/>
      <c r="I36" s="45"/>
      <c r="J36" s="46" t="str">
        <f>IF(I38="G",IF(ISBLANK(A37),J37,J37-F37),"")</f>
        <v/>
      </c>
      <c r="K36" s="45"/>
      <c r="L36" s="45"/>
      <c r="M36" s="45"/>
      <c r="N36" s="45"/>
      <c r="O36" s="45"/>
      <c r="P36" s="64">
        <f>SUM(P37:P41)</f>
        <v>77.625</v>
      </c>
      <c r="R36" s="66">
        <f>P36</f>
        <v>77.625</v>
      </c>
      <c r="S36" s="70">
        <f>SUM(O37:O41)</f>
        <v>22.5</v>
      </c>
    </row>
    <row r="37" spans="1:21">
      <c r="A37" s="15" t="s">
        <v>132</v>
      </c>
      <c r="B37" s="48">
        <v>36</v>
      </c>
      <c r="C37" s="48">
        <f>IF(ISBLANK(A37),"",Plan_Speed)</f>
        <v>8</v>
      </c>
      <c r="D37" s="124"/>
      <c r="E37" s="43">
        <f>IF(ISBLANK(A37),"",C37+D37)</f>
        <v>8</v>
      </c>
      <c r="F37" s="44">
        <f>IF(ISBLANK(A37),"",(B37/E37)/24)</f>
        <v>0.1875</v>
      </c>
      <c r="G37" s="46">
        <f>IF(I38="G","",IF(ISBLANK(A37),"",G36+H36+F37))</f>
        <v>0.52083333333333326</v>
      </c>
      <c r="H37" s="52"/>
      <c r="I37" s="43"/>
      <c r="J37" s="46" t="str">
        <f>IF(I38="G",K38-F38-H37,"")</f>
        <v/>
      </c>
      <c r="K37" s="46"/>
      <c r="L37" s="43">
        <f>IF(ISBLANK($A37),"",VLOOKUP($C37,Knots,2,FALSE))</f>
        <v>1400</v>
      </c>
      <c r="M37" s="43">
        <f>IF(ISBLANK($A37),"",VLOOKUP($C37,Knots,3,FALSE))</f>
        <v>5</v>
      </c>
      <c r="N37" s="43">
        <f>IF(ISBLANK($A37),"",VLOOKUP($C37,Knots,4,FALSE))</f>
        <v>1.6</v>
      </c>
      <c r="O37" s="47">
        <f>IF(ISBLANK(A37),"",M37*(F37*24))</f>
        <v>22.5</v>
      </c>
      <c r="P37" s="65">
        <f>IF(ISBLANK(A37),"",O37*$I$8)</f>
        <v>77.625</v>
      </c>
    </row>
    <row r="38" spans="1:21">
      <c r="A38" s="42"/>
      <c r="B38" s="48"/>
      <c r="C38" s="48" t="str">
        <f>IF(ISBLANK(A38),"",Plan_Speed)</f>
        <v/>
      </c>
      <c r="D38" s="48"/>
      <c r="E38" s="43" t="str">
        <f>IF(ISBLANK(A38),"",C38+D38)</f>
        <v/>
      </c>
      <c r="F38" s="44" t="str">
        <f>IF(ISBLANK(A38),"",(B38/E38)/24)</f>
        <v/>
      </c>
      <c r="G38" s="46" t="str">
        <f>IF(I38="G","",IF(ISBLANK(A38),"",G37+H37+F38))</f>
        <v/>
      </c>
      <c r="H38" s="52"/>
      <c r="I38" s="72"/>
      <c r="J38" s="73" t="str">
        <f>IF(I38="G",K38,"")</f>
        <v/>
      </c>
      <c r="K38" s="52"/>
      <c r="L38" s="112" t="str">
        <f>IF(ISBLANK($A38),"",VLOOKUP($C38,Knots,2,FALSE))</f>
        <v/>
      </c>
      <c r="M38" s="112" t="str">
        <f>IF(ISBLANK($A38),"",VLOOKUP($C38,Knots,3,FALSE))</f>
        <v/>
      </c>
      <c r="N38" s="112" t="str">
        <f>IF(ISBLANK($A38),"",VLOOKUP($C38,Knots,4,FALSE))</f>
        <v/>
      </c>
      <c r="O38" s="113" t="str">
        <f>IF(ISBLANK(A38),"",M38*(F38*24))</f>
        <v/>
      </c>
      <c r="P38" s="114" t="str">
        <f>IF(ISBLANK(A38),"",O38*$I$8)</f>
        <v/>
      </c>
      <c r="T38" s="66"/>
      <c r="U38" s="70"/>
    </row>
    <row r="39" spans="1:21">
      <c r="A39" s="42"/>
      <c r="B39" s="48"/>
      <c r="C39" s="48" t="str">
        <f>IF(ISBLANK(A39),"",Plan_Speed)</f>
        <v/>
      </c>
      <c r="D39" s="48"/>
      <c r="E39" s="43" t="str">
        <f>IF(ISBLANK(A39),"",C39+D39)</f>
        <v/>
      </c>
      <c r="F39" s="44" t="str">
        <f>IF(ISBLANK(A39),"",(B39/E39)/24)</f>
        <v/>
      </c>
      <c r="G39" s="46" t="str">
        <f>IF(I38="G","",IF(ISBLANK(A39),"",G38+H38+F39))</f>
        <v/>
      </c>
      <c r="H39" s="52"/>
      <c r="I39" s="43"/>
      <c r="J39" s="46" t="str">
        <f>IF(ISBLANK(I38),"",IF(ISBLANK(A39),"",J38+H39+F39))</f>
        <v/>
      </c>
      <c r="K39" s="46"/>
      <c r="L39" s="43" t="str">
        <f>IF(ISBLANK($A39),"",VLOOKUP($C39,Knots,2,FALSE))</f>
        <v/>
      </c>
      <c r="M39" s="43" t="str">
        <f>IF(ISBLANK($A39),"",VLOOKUP($C39,Knots,3,FALSE))</f>
        <v/>
      </c>
      <c r="N39" s="43" t="str">
        <f>IF(ISBLANK($A39),"",VLOOKUP($C39,Knots,4,FALSE))</f>
        <v/>
      </c>
      <c r="O39" s="47" t="str">
        <f>IF(ISBLANK(A39),"",M39*(F39*24))</f>
        <v/>
      </c>
      <c r="P39" s="65" t="str">
        <f>IF(ISBLANK(A39),"",O39*$I$8)</f>
        <v/>
      </c>
    </row>
    <row r="40" spans="1:21">
      <c r="A40" s="42"/>
      <c r="B40" s="48"/>
      <c r="C40" s="48" t="str">
        <f>IF(ISBLANK(A40),"",Plan_Speed)</f>
        <v/>
      </c>
      <c r="D40" s="48"/>
      <c r="E40" s="43" t="str">
        <f>IF(ISBLANK(A40),"",C40+D40)</f>
        <v/>
      </c>
      <c r="F40" s="44" t="str">
        <f>IF(ISBLANK(A40),"",(B40/E40)/24)</f>
        <v/>
      </c>
      <c r="G40" s="46" t="str">
        <f>IF(I38="G","",IF(ISBLANK(A40),"",G38+H38+F40))</f>
        <v/>
      </c>
      <c r="H40" s="52"/>
      <c r="I40" s="43"/>
      <c r="J40" s="46" t="str">
        <f>IF(ISBLANK(I38),"",IF(ISBLANK(A40),"",J38+H40+F40))</f>
        <v/>
      </c>
      <c r="K40" s="46"/>
      <c r="L40" s="43" t="str">
        <f>IF(ISBLANK($A40),"",VLOOKUP($C40,Knots,2,FALSE))</f>
        <v/>
      </c>
      <c r="M40" s="43" t="str">
        <f>IF(ISBLANK($A40),"",VLOOKUP($C40,Knots,3,FALSE))</f>
        <v/>
      </c>
      <c r="N40" s="43" t="str">
        <f>IF(ISBLANK($A40),"",VLOOKUP($C40,Knots,4,FALSE))</f>
        <v/>
      </c>
      <c r="O40" s="47" t="str">
        <f>IF(ISBLANK(A40),"",M40*(F40*24))</f>
        <v/>
      </c>
      <c r="P40" s="65" t="str">
        <f>IF(ISBLANK(A40),"",O40*$I$8)</f>
        <v/>
      </c>
    </row>
    <row r="41" spans="1:21">
      <c r="A41" s="41"/>
      <c r="B41" s="48"/>
      <c r="C41" s="48" t="str">
        <f>IF(ISBLANK(A41),"",Plan_Speed)</f>
        <v/>
      </c>
      <c r="D41" s="48"/>
      <c r="E41" s="43" t="str">
        <f>IF(ISBLANK(A41),"",C41+D41)</f>
        <v/>
      </c>
      <c r="F41" s="44" t="str">
        <f>IF(ISBLANK(A41),"",(B41/E41)/24)</f>
        <v/>
      </c>
      <c r="G41" s="46" t="str">
        <f>IF(I38="G","",IF(ISBLANK(A41),"",G39+H39+F41))</f>
        <v/>
      </c>
      <c r="H41" s="52"/>
      <c r="I41" s="43"/>
      <c r="J41" s="46" t="str">
        <f>IF(ISBLANK(I38),"",IF(ISBLANK(A41),"",J39+H41+F41))</f>
        <v/>
      </c>
      <c r="K41" s="46"/>
      <c r="L41" s="43" t="str">
        <f>IF(ISBLANK($A41),"",VLOOKUP($C41,Knots,2,FALSE))</f>
        <v/>
      </c>
      <c r="M41" s="43" t="str">
        <f>IF(ISBLANK($A41),"",VLOOKUP($C41,Knots,3,FALSE))</f>
        <v/>
      </c>
      <c r="N41" s="43" t="str">
        <f>IF(ISBLANK($A41),"",VLOOKUP($C41,Knots,4,FALSE))</f>
        <v/>
      </c>
      <c r="O41" s="47" t="str">
        <f>IF(ISBLANK(A41),"",M41*(F41*24))</f>
        <v/>
      </c>
      <c r="P41" s="65" t="str">
        <f>IF(ISBLANK(A41),"",O41*$I$8)</f>
        <v/>
      </c>
    </row>
    <row r="42" spans="1:21">
      <c r="A42" s="92" t="s">
        <v>76</v>
      </c>
      <c r="B42">
        <f>SUM(B36:B41)</f>
        <v>36</v>
      </c>
      <c r="E42" s="67" t="s">
        <v>75</v>
      </c>
      <c r="F42" s="77">
        <f>SUM(F37:F41)</f>
        <v>0.1875</v>
      </c>
      <c r="H42" s="14" t="s">
        <v>145</v>
      </c>
    </row>
    <row r="44" spans="1:21" ht="15">
      <c r="A44" s="37" t="s">
        <v>116</v>
      </c>
      <c r="G44" s="14" t="s">
        <v>66</v>
      </c>
      <c r="J44" s="74" t="s">
        <v>70</v>
      </c>
    </row>
    <row r="45" spans="1:21">
      <c r="A45" s="38" t="s">
        <v>45</v>
      </c>
      <c r="B45" s="39" t="s">
        <v>46</v>
      </c>
      <c r="C45" s="39" t="s">
        <v>47</v>
      </c>
      <c r="D45" s="39" t="s">
        <v>48</v>
      </c>
      <c r="E45" s="39" t="s">
        <v>49</v>
      </c>
      <c r="F45" s="39" t="s">
        <v>51</v>
      </c>
      <c r="G45" s="39" t="s">
        <v>12</v>
      </c>
      <c r="H45" s="39" t="s">
        <v>59</v>
      </c>
      <c r="I45" s="39" t="s">
        <v>53</v>
      </c>
      <c r="J45" s="39" t="s">
        <v>52</v>
      </c>
      <c r="K45" s="39" t="s">
        <v>54</v>
      </c>
      <c r="L45" s="39" t="s">
        <v>31</v>
      </c>
      <c r="M45" s="39" t="s">
        <v>32</v>
      </c>
      <c r="N45" s="39" t="s">
        <v>55</v>
      </c>
      <c r="O45" s="39" t="s">
        <v>56</v>
      </c>
      <c r="P45" s="39" t="s">
        <v>57</v>
      </c>
    </row>
    <row r="46" spans="1:21">
      <c r="A46" s="15" t="s">
        <v>132</v>
      </c>
      <c r="B46" s="45"/>
      <c r="C46" s="45"/>
      <c r="D46" s="45"/>
      <c r="E46" s="45"/>
      <c r="F46" s="45"/>
      <c r="G46" s="51">
        <v>0.35416666666666669</v>
      </c>
      <c r="H46" s="45"/>
      <c r="I46" s="45"/>
      <c r="J46" s="46" t="str">
        <f>IF(I48="G",IF(ISBLANK(A47),J47,J47-F47),"")</f>
        <v/>
      </c>
      <c r="K46" s="45"/>
      <c r="L46" s="45"/>
      <c r="M46" s="45"/>
      <c r="N46" s="45"/>
      <c r="O46" s="45"/>
      <c r="P46" s="64">
        <f>SUM(P47:P50)</f>
        <v>99.1875</v>
      </c>
      <c r="R46" s="66">
        <f>P46</f>
        <v>99.1875</v>
      </c>
      <c r="S46" s="70">
        <f>SUM(O47:O50)</f>
        <v>28.75</v>
      </c>
    </row>
    <row r="47" spans="1:21">
      <c r="A47" s="15" t="s">
        <v>133</v>
      </c>
      <c r="B47" s="48">
        <v>46</v>
      </c>
      <c r="C47" s="48">
        <f>IF(ISBLANK(A47),"",Plan_Speed)</f>
        <v>8</v>
      </c>
      <c r="D47" s="48"/>
      <c r="E47" s="43">
        <f>IF(ISBLANK(A47),"",C47+D47)</f>
        <v>8</v>
      </c>
      <c r="F47" s="44">
        <f>IF(ISBLANK(A47),"",(B47/E47)/24)</f>
        <v>0.23958333333333334</v>
      </c>
      <c r="G47" s="46">
        <f>IF(I48="G","",IF(ISBLANK(A47),"",G46+H46+F47))</f>
        <v>0.59375</v>
      </c>
      <c r="H47" s="52"/>
      <c r="I47" s="43"/>
      <c r="J47" s="46" t="str">
        <f>IF(I48="G",K48-F48-H47,"")</f>
        <v/>
      </c>
      <c r="K47" s="46"/>
      <c r="L47" s="43">
        <f>IF(ISBLANK($A47),"",VLOOKUP($C47,Knots,2,FALSE))</f>
        <v>1400</v>
      </c>
      <c r="M47" s="43">
        <f>IF(ISBLANK($A47),"",VLOOKUP($C47,Knots,3,FALSE))</f>
        <v>5</v>
      </c>
      <c r="N47" s="43">
        <f>IF(ISBLANK($A47),"",VLOOKUP($C47,Knots,4,FALSE))</f>
        <v>1.6</v>
      </c>
      <c r="O47" s="47">
        <f>IF(ISBLANK(A47),"",M47*(F47*24))</f>
        <v>28.75</v>
      </c>
      <c r="P47" s="65">
        <f>IF(ISBLANK(A47),"",O47*$I$8)</f>
        <v>99.1875</v>
      </c>
    </row>
    <row r="48" spans="1:21">
      <c r="A48" s="42"/>
      <c r="B48" s="48"/>
      <c r="C48" s="48" t="str">
        <f>IF(ISBLANK(A48),"",Plan_Speed)</f>
        <v/>
      </c>
      <c r="D48" s="48"/>
      <c r="E48" s="43" t="str">
        <f>IF(ISBLANK(A48),"",C48+D48)</f>
        <v/>
      </c>
      <c r="F48" s="44" t="str">
        <f>IF(ISBLANK(A48),"",(B48/E48)/24)</f>
        <v/>
      </c>
      <c r="G48" s="46" t="str">
        <f>IF(I48="G","",IF(ISBLANK(A48),"",G47+H47+F48))</f>
        <v/>
      </c>
      <c r="H48" s="52"/>
      <c r="I48" s="72"/>
      <c r="J48" s="73" t="str">
        <f>IF(I48="G",K48,"")</f>
        <v/>
      </c>
      <c r="K48" s="52"/>
      <c r="L48" s="43" t="str">
        <f>IF(ISBLANK($A48),"",VLOOKUP($C48,Knots,2,FALSE))</f>
        <v/>
      </c>
      <c r="M48" s="43" t="str">
        <f>IF(ISBLANK($A48),"",VLOOKUP($C48,Knots,3,FALSE))</f>
        <v/>
      </c>
      <c r="N48" s="43" t="str">
        <f>IF(ISBLANK($A48),"",VLOOKUP($C48,Knots,4,FALSE))</f>
        <v/>
      </c>
      <c r="O48" s="47" t="str">
        <f>IF(ISBLANK(A48),"",M48*(F48*24))</f>
        <v/>
      </c>
      <c r="P48" s="65" t="str">
        <f>IF(ISBLANK(A48),"",O48*$I$8)</f>
        <v/>
      </c>
    </row>
    <row r="49" spans="1:21">
      <c r="A49" s="42"/>
      <c r="B49" s="48"/>
      <c r="C49" s="48" t="str">
        <f>IF(ISBLANK(A49),"",Plan_Speed)</f>
        <v/>
      </c>
      <c r="D49" s="48"/>
      <c r="E49" s="43" t="str">
        <f>IF(ISBLANK(A49),"",C49+D49)</f>
        <v/>
      </c>
      <c r="F49" s="44" t="str">
        <f>IF(ISBLANK(A49),"",(B49/E49)/24)</f>
        <v/>
      </c>
      <c r="G49" s="46" t="str">
        <f>IF(I48="G","",IF(ISBLANK(A49),"",G48+H48+F49))</f>
        <v/>
      </c>
      <c r="H49" s="52"/>
      <c r="I49" s="43"/>
      <c r="J49" s="46" t="str">
        <f>IF(ISBLANK(I48),"",IF(ISBLANK(A49),"",J48+H49+F49))</f>
        <v/>
      </c>
      <c r="K49" s="46"/>
      <c r="L49" s="43" t="str">
        <f>IF(ISBLANK($A49),"",VLOOKUP($C49,Knots,2,FALSE))</f>
        <v/>
      </c>
      <c r="M49" s="43" t="str">
        <f>IF(ISBLANK($A49),"",VLOOKUP($C49,Knots,3,FALSE))</f>
        <v/>
      </c>
      <c r="N49" s="43" t="str">
        <f>IF(ISBLANK($A49),"",VLOOKUP($C49,Knots,4,FALSE))</f>
        <v/>
      </c>
      <c r="O49" s="47" t="str">
        <f>IF(ISBLANK(A49),"",M49*(F49*24))</f>
        <v/>
      </c>
      <c r="P49" s="65" t="str">
        <f>IF(ISBLANK(A49),"",O49*$I$8)</f>
        <v/>
      </c>
    </row>
    <row r="50" spans="1:21">
      <c r="A50" s="42"/>
      <c r="B50" s="48"/>
      <c r="C50" s="48" t="str">
        <f>IF(ISBLANK(A50),"",Plan_Speed)</f>
        <v/>
      </c>
      <c r="D50" s="48"/>
      <c r="E50" s="43" t="str">
        <f>IF(ISBLANK(A50),"",C50+D50)</f>
        <v/>
      </c>
      <c r="F50" s="44" t="str">
        <f>IF(ISBLANK(A50),"",(B50/E50)/24)</f>
        <v/>
      </c>
      <c r="G50" s="46" t="str">
        <f>IF(I48="G","",IF(ISBLANK(A50),"",G49+H49+F50))</f>
        <v/>
      </c>
      <c r="H50" s="52"/>
      <c r="I50" s="43"/>
      <c r="J50" s="46" t="str">
        <f>IF(ISBLANK(I48),"",IF(ISBLANK(A50),"",J49+H50+F50))</f>
        <v/>
      </c>
      <c r="K50" s="46"/>
      <c r="L50" s="43" t="str">
        <f>IF(ISBLANK($A50),"",VLOOKUP($C50,Knots,2,FALSE))</f>
        <v/>
      </c>
      <c r="M50" s="43" t="str">
        <f>IF(ISBLANK($A50),"",VLOOKUP($C50,Knots,3,FALSE))</f>
        <v/>
      </c>
      <c r="N50" s="43" t="str">
        <f>IF(ISBLANK($A50),"",VLOOKUP($C50,Knots,4,FALSE))</f>
        <v/>
      </c>
      <c r="O50" s="47" t="str">
        <f>IF(ISBLANK(A50),"",M50*(F50*24))</f>
        <v/>
      </c>
      <c r="P50" s="65" t="str">
        <f>IF(ISBLANK(A50),"",O50*$I$8)</f>
        <v/>
      </c>
    </row>
    <row r="51" spans="1:21">
      <c r="A51" s="92" t="s">
        <v>76</v>
      </c>
      <c r="B51">
        <f>SUM(B45:B50)</f>
        <v>46</v>
      </c>
      <c r="E51" s="67" t="s">
        <v>75</v>
      </c>
      <c r="F51" s="77">
        <f>SUM(F46:F50)</f>
        <v>0.23958333333333334</v>
      </c>
    </row>
    <row r="53" spans="1:21" ht="15">
      <c r="A53" s="37" t="s">
        <v>117</v>
      </c>
      <c r="G53" s="14" t="s">
        <v>66</v>
      </c>
      <c r="J53" s="74" t="s">
        <v>70</v>
      </c>
    </row>
    <row r="54" spans="1:21">
      <c r="A54" s="38" t="s">
        <v>45</v>
      </c>
      <c r="B54" s="39" t="s">
        <v>46</v>
      </c>
      <c r="C54" s="39" t="s">
        <v>47</v>
      </c>
      <c r="D54" s="39" t="s">
        <v>48</v>
      </c>
      <c r="E54" s="39" t="s">
        <v>49</v>
      </c>
      <c r="F54" s="39" t="s">
        <v>51</v>
      </c>
      <c r="G54" s="39" t="s">
        <v>12</v>
      </c>
      <c r="H54" s="39" t="s">
        <v>59</v>
      </c>
      <c r="I54" s="39" t="s">
        <v>53</v>
      </c>
      <c r="J54" s="39" t="s">
        <v>52</v>
      </c>
      <c r="K54" s="39" t="s">
        <v>54</v>
      </c>
      <c r="L54" s="39" t="s">
        <v>31</v>
      </c>
      <c r="M54" s="39" t="s">
        <v>32</v>
      </c>
      <c r="N54" s="39" t="s">
        <v>55</v>
      </c>
      <c r="O54" s="39" t="s">
        <v>56</v>
      </c>
      <c r="P54" s="39" t="s">
        <v>57</v>
      </c>
    </row>
    <row r="55" spans="1:21">
      <c r="A55" s="15" t="s">
        <v>133</v>
      </c>
      <c r="B55" s="45"/>
      <c r="C55" s="45"/>
      <c r="D55" s="45"/>
      <c r="E55" s="45"/>
      <c r="F55" s="45"/>
      <c r="G55" s="51">
        <v>0.35416666666666669</v>
      </c>
      <c r="H55" s="45"/>
      <c r="I55" s="45"/>
      <c r="J55" s="46" t="str">
        <f>IF(I57="G",IF(ISBLANK(A56),J56,J56-F56),"")</f>
        <v/>
      </c>
      <c r="K55" s="45"/>
      <c r="L55" s="45"/>
      <c r="M55" s="45"/>
      <c r="N55" s="45"/>
      <c r="O55" s="45"/>
      <c r="P55" s="64">
        <f>SUM(P56:P59)</f>
        <v>71.15625</v>
      </c>
      <c r="R55" s="66">
        <f>P55</f>
        <v>71.15625</v>
      </c>
      <c r="S55" s="70">
        <f>SUM(O56:O59)</f>
        <v>20.625</v>
      </c>
    </row>
    <row r="56" spans="1:21">
      <c r="A56" s="15" t="s">
        <v>133</v>
      </c>
      <c r="B56" s="48">
        <v>33</v>
      </c>
      <c r="C56" s="48">
        <f>IF(ISBLANK(A56),"",Plan_Speed)</f>
        <v>8</v>
      </c>
      <c r="D56" s="48"/>
      <c r="E56" s="43">
        <f>IF(ISBLANK(A56),"",C56+D56)</f>
        <v>8</v>
      </c>
      <c r="F56" s="44">
        <f>IF(ISBLANK(A56),"",(B56/E56)/24)</f>
        <v>0.171875</v>
      </c>
      <c r="G56" s="46">
        <f>IF(I57="G","",IF(ISBLANK(A56),"",G55+H55+F56))</f>
        <v>0.52604166666666674</v>
      </c>
      <c r="H56" s="52"/>
      <c r="I56" s="43"/>
      <c r="J56" s="46" t="str">
        <f>IF(I57="G",K57-F57-H56,"")</f>
        <v/>
      </c>
      <c r="K56" s="46"/>
      <c r="L56" s="43">
        <f>IF(ISBLANK($A56),"",VLOOKUP($C56,Knots,2,FALSE))</f>
        <v>1400</v>
      </c>
      <c r="M56" s="43">
        <f>IF(ISBLANK($A56),"",VLOOKUP($C56,Knots,3,FALSE))</f>
        <v>5</v>
      </c>
      <c r="N56" s="43">
        <f>IF(ISBLANK($A56),"",VLOOKUP($C56,Knots,4,FALSE))</f>
        <v>1.6</v>
      </c>
      <c r="O56" s="47">
        <f>IF(ISBLANK(A56),"",M56*(F56*24))</f>
        <v>20.625</v>
      </c>
      <c r="P56" s="65">
        <f>IF(ISBLANK(A56),"",O56*$I$8)</f>
        <v>71.15625</v>
      </c>
    </row>
    <row r="57" spans="1:21">
      <c r="A57" s="83"/>
      <c r="B57" s="91"/>
      <c r="C57" s="48" t="str">
        <f>IF(ISBLANK(A57),"",Plan_Speed)</f>
        <v/>
      </c>
      <c r="D57" s="48"/>
      <c r="E57" s="43" t="str">
        <f>IF(ISBLANK(A57),"",C57+D57)</f>
        <v/>
      </c>
      <c r="F57" s="44" t="str">
        <f>IF(ISBLANK(A57),"",(B57/E57)/24)</f>
        <v/>
      </c>
      <c r="G57" s="46" t="str">
        <f>IF(I57="G","",IF(ISBLANK(A57),"",G56+H56+F57))</f>
        <v/>
      </c>
      <c r="H57" s="52"/>
      <c r="I57" s="72"/>
      <c r="J57" s="73" t="str">
        <f>IF(I57="G",K57,"")</f>
        <v/>
      </c>
      <c r="K57" s="52"/>
      <c r="L57" s="84" t="str">
        <f>IF(ISBLANK($A57),"",VLOOKUP($C57,Knots,2,FALSE))</f>
        <v/>
      </c>
      <c r="M57" s="84" t="str">
        <f>IF(ISBLANK($A57),"",VLOOKUP($C57,Knots,3,FALSE))</f>
        <v/>
      </c>
      <c r="N57" s="84" t="str">
        <f>IF(ISBLANK($A57),"",VLOOKUP($C57,Knots,4,FALSE))</f>
        <v/>
      </c>
      <c r="O57" s="85" t="str">
        <f>IF(ISBLANK(A57),"",M57*(F57*24))</f>
        <v/>
      </c>
      <c r="P57" s="86" t="str">
        <f>IF(ISBLANK(A57),"",O57*$I$8)</f>
        <v/>
      </c>
      <c r="T57" s="66" t="str">
        <f>P57</f>
        <v/>
      </c>
      <c r="U57" s="70" t="str">
        <f>O57</f>
        <v/>
      </c>
    </row>
    <row r="58" spans="1:21">
      <c r="A58" s="42"/>
      <c r="B58" s="72"/>
      <c r="C58" s="48" t="str">
        <f>IF(ISBLANK(A58),"",Plan_Speed)</f>
        <v/>
      </c>
      <c r="D58" s="48"/>
      <c r="E58" s="43" t="str">
        <f>IF(ISBLANK(A58),"",C58+D58)</f>
        <v/>
      </c>
      <c r="F58" s="44" t="str">
        <f>IF(ISBLANK(A58),"",(B58/E58)/24)</f>
        <v/>
      </c>
      <c r="G58" s="46" t="str">
        <f>IF(I57="G","",IF(ISBLANK(A58),"",G57+H57+F58))</f>
        <v/>
      </c>
      <c r="H58" s="52"/>
      <c r="I58" s="43"/>
      <c r="J58" s="46" t="str">
        <f>IF(ISBLANK(I57),"",IF(ISBLANK(A58),"",J57+H58+F58))</f>
        <v/>
      </c>
      <c r="K58" s="46"/>
      <c r="L58" s="43" t="str">
        <f>IF(ISBLANK($A58),"",VLOOKUP($C58,Knots,2,FALSE))</f>
        <v/>
      </c>
      <c r="M58" s="43" t="str">
        <f>IF(ISBLANK($A58),"",VLOOKUP($C58,Knots,3,FALSE))</f>
        <v/>
      </c>
      <c r="N58" s="43" t="str">
        <f>IF(ISBLANK($A58),"",VLOOKUP($C58,Knots,4,FALSE))</f>
        <v/>
      </c>
      <c r="O58" s="47" t="str">
        <f>IF(ISBLANK(A58),"",M58*(F58*24))</f>
        <v/>
      </c>
      <c r="P58" s="65" t="str">
        <f>IF(ISBLANK(A58),"",O58*$I$8)</f>
        <v/>
      </c>
    </row>
    <row r="59" spans="1:21">
      <c r="A59" s="41"/>
      <c r="B59" s="48"/>
      <c r="C59" s="48" t="str">
        <f>IF(ISBLANK(A59),"",Plan_Speed)</f>
        <v/>
      </c>
      <c r="D59" s="48"/>
      <c r="E59" s="43" t="str">
        <f>IF(ISBLANK(A59),"",C59+D59)</f>
        <v/>
      </c>
      <c r="F59" s="44" t="str">
        <f>IF(ISBLANK(A59),"",(B59/E59)/24)</f>
        <v/>
      </c>
      <c r="G59" s="46" t="str">
        <f>IF(I57="G","",IF(ISBLANK(A59),"",G58+H58+F59))</f>
        <v/>
      </c>
      <c r="H59" s="52"/>
      <c r="I59" s="43"/>
      <c r="J59" s="46" t="str">
        <f>IF(ISBLANK(I57),"",IF(ISBLANK(A59),"",J58+H59+F59))</f>
        <v/>
      </c>
      <c r="K59" s="46"/>
      <c r="L59" s="43" t="str">
        <f>IF(ISBLANK($A59),"",VLOOKUP($C59,Knots,2,FALSE))</f>
        <v/>
      </c>
      <c r="M59" s="43" t="str">
        <f>IF(ISBLANK($A59),"",VLOOKUP($C59,Knots,3,FALSE))</f>
        <v/>
      </c>
      <c r="N59" s="43" t="str">
        <f>IF(ISBLANK($A59),"",VLOOKUP($C59,Knots,4,FALSE))</f>
        <v/>
      </c>
      <c r="O59" s="47" t="str">
        <f>IF(ISBLANK(A59),"",M59*(F59*24))</f>
        <v/>
      </c>
      <c r="P59" s="65" t="str">
        <f>IF(ISBLANK(A59),"",O59*$I$8)</f>
        <v/>
      </c>
    </row>
    <row r="60" spans="1:21">
      <c r="A60" s="92" t="s">
        <v>76</v>
      </c>
      <c r="B60">
        <f>SUM(B54:B59)</f>
        <v>33</v>
      </c>
      <c r="E60" s="67" t="s">
        <v>75</v>
      </c>
      <c r="F60" s="77">
        <f>SUM(F55:F59)</f>
        <v>0.171875</v>
      </c>
    </row>
    <row r="63" spans="1:21" ht="15">
      <c r="A63" s="37" t="s">
        <v>146</v>
      </c>
      <c r="G63" s="14" t="s">
        <v>66</v>
      </c>
      <c r="J63" s="74" t="s">
        <v>70</v>
      </c>
    </row>
    <row r="64" spans="1:21">
      <c r="A64" s="38" t="s">
        <v>45</v>
      </c>
      <c r="B64" s="39" t="s">
        <v>46</v>
      </c>
      <c r="C64" s="39" t="s">
        <v>47</v>
      </c>
      <c r="D64" s="39" t="s">
        <v>48</v>
      </c>
      <c r="E64" s="39" t="s">
        <v>49</v>
      </c>
      <c r="F64" s="39" t="s">
        <v>51</v>
      </c>
      <c r="G64" s="39" t="s">
        <v>12</v>
      </c>
      <c r="H64" s="39" t="s">
        <v>59</v>
      </c>
      <c r="I64" s="39" t="s">
        <v>53</v>
      </c>
      <c r="J64" s="39" t="s">
        <v>52</v>
      </c>
      <c r="K64" s="39" t="s">
        <v>54</v>
      </c>
      <c r="L64" s="39" t="s">
        <v>31</v>
      </c>
      <c r="M64" s="39" t="s">
        <v>32</v>
      </c>
      <c r="N64" s="39" t="s">
        <v>55</v>
      </c>
      <c r="O64" s="39" t="s">
        <v>56</v>
      </c>
      <c r="P64" s="39" t="s">
        <v>57</v>
      </c>
    </row>
    <row r="65" spans="1:21">
      <c r="A65" s="15" t="s">
        <v>133</v>
      </c>
      <c r="B65" s="45"/>
      <c r="C65" s="45"/>
      <c r="D65" s="45"/>
      <c r="E65" s="45"/>
      <c r="F65" s="45"/>
      <c r="G65" s="51"/>
      <c r="H65" s="45"/>
      <c r="I65" s="45"/>
      <c r="J65" s="46">
        <f>IF(I67="G",IF(ISBLANK(A66),J66,J66-F66),"")</f>
        <v>0.34837962962962965</v>
      </c>
      <c r="K65" s="45"/>
      <c r="L65" s="45"/>
      <c r="M65" s="45"/>
      <c r="N65" s="45"/>
      <c r="O65" s="45"/>
      <c r="P65" s="64">
        <f>SUM(P66:P69)</f>
        <v>87.208333333333343</v>
      </c>
      <c r="R65" s="66">
        <f>P65</f>
        <v>87.208333333333343</v>
      </c>
      <c r="S65" s="70">
        <f>SUM(O66:O69)</f>
        <v>25.277777777777779</v>
      </c>
    </row>
    <row r="66" spans="1:21">
      <c r="A66" s="15"/>
      <c r="B66" s="48"/>
      <c r="C66" s="48" t="str">
        <f>IF(ISBLANK(A66),"",Plan_Speed)</f>
        <v/>
      </c>
      <c r="D66" s="48"/>
      <c r="E66" s="43" t="str">
        <f>IF(ISBLANK(A66),"",C66+D66)</f>
        <v/>
      </c>
      <c r="F66" s="44" t="str">
        <f>IF(ISBLANK(A66),"",(B66/E66)/24)</f>
        <v/>
      </c>
      <c r="G66" s="46" t="str">
        <f>IF(I67="G","",IF(ISBLANK(A66),"",G65+H65+F66))</f>
        <v/>
      </c>
      <c r="H66" s="52"/>
      <c r="I66" s="43"/>
      <c r="J66" s="46">
        <f>IF(I67="G",K67-F67-H66,"")</f>
        <v>0.34837962962962965</v>
      </c>
      <c r="K66" s="73"/>
      <c r="L66" s="43" t="str">
        <f>IF(ISBLANK($A66),"",VLOOKUP($C66,Knots,2,FALSE))</f>
        <v/>
      </c>
      <c r="M66" s="43" t="str">
        <f>IF(ISBLANK($A66),"",VLOOKUP($C66,Knots,3,FALSE))</f>
        <v/>
      </c>
      <c r="N66" s="43" t="str">
        <f>IF(ISBLANK($A66),"",VLOOKUP($C66,Knots,4,FALSE))</f>
        <v/>
      </c>
      <c r="O66" s="47" t="str">
        <f>IF(ISBLANK(A66),"",M66*(F66*24))</f>
        <v/>
      </c>
      <c r="P66" s="65" t="str">
        <f>IF(ISBLANK(A66),"",O66*$I$8)</f>
        <v/>
      </c>
      <c r="T66" s="66"/>
      <c r="U66" s="70"/>
    </row>
    <row r="67" spans="1:21">
      <c r="A67" s="42" t="s">
        <v>148</v>
      </c>
      <c r="B67" s="48">
        <v>23</v>
      </c>
      <c r="C67" s="48">
        <f>IF(ISBLANK(A67),"",Plan_Speed)</f>
        <v>8</v>
      </c>
      <c r="D67" s="48">
        <v>1</v>
      </c>
      <c r="E67" s="43">
        <f>IF(ISBLANK(A67),"",C67+D67)</f>
        <v>9</v>
      </c>
      <c r="F67" s="44">
        <f>IF(ISBLANK(A67),"",(B67/E67)/24)</f>
        <v>0.10648148148148147</v>
      </c>
      <c r="G67" s="46" t="str">
        <f>IF(I67="G","",IF(ISBLANK(A67),"",G66+H66+F67))</f>
        <v/>
      </c>
      <c r="H67" s="52"/>
      <c r="I67" s="72" t="s">
        <v>53</v>
      </c>
      <c r="J67" s="73">
        <f>IF(I67="G",K67,"")</f>
        <v>0.4548611111111111</v>
      </c>
      <c r="K67" s="52">
        <v>0.4548611111111111</v>
      </c>
      <c r="L67" s="43">
        <f>IF(ISBLANK($A67),"",VLOOKUP($C67,Knots,2,FALSE))</f>
        <v>1400</v>
      </c>
      <c r="M67" s="43">
        <f>IF(ISBLANK($A67),"",VLOOKUP($C67,Knots,3,FALSE))</f>
        <v>5</v>
      </c>
      <c r="N67" s="43">
        <f>IF(ISBLANK($A67),"",VLOOKUP($C67,Knots,4,FALSE))</f>
        <v>1.6</v>
      </c>
      <c r="O67" s="47">
        <f>IF(ISBLANK(A67),"",M67*(F67*24))</f>
        <v>12.777777777777777</v>
      </c>
      <c r="P67" s="65">
        <f>IF(ISBLANK(A67),"",O67*$I$8)</f>
        <v>44.083333333333336</v>
      </c>
    </row>
    <row r="68" spans="1:21">
      <c r="A68" s="15" t="s">
        <v>134</v>
      </c>
      <c r="B68" s="48">
        <f>48-23</f>
        <v>25</v>
      </c>
      <c r="C68" s="48">
        <f>IF(ISBLANK(A68),"",Plan_Speed)</f>
        <v>8</v>
      </c>
      <c r="D68" s="48">
        <v>2</v>
      </c>
      <c r="E68" s="43">
        <f>IF(ISBLANK(A68),"",C68+D68)</f>
        <v>10</v>
      </c>
      <c r="F68" s="44">
        <f>IF(ISBLANK(A68),"",(B68/E68)/24)</f>
        <v>0.10416666666666667</v>
      </c>
      <c r="G68" s="46" t="str">
        <f>IF(I67="G","",IF(ISBLANK(A68),"",G67+H67+F68))</f>
        <v/>
      </c>
      <c r="H68" s="52"/>
      <c r="I68" s="43"/>
      <c r="J68" s="46">
        <f>IF(ISBLANK(I67),"",IF(ISBLANK(A68),"",J67+H68+F68))</f>
        <v>0.55902777777777779</v>
      </c>
      <c r="K68" s="46"/>
      <c r="L68" s="43">
        <f>IF(ISBLANK($A68),"",VLOOKUP($C68,Knots,2,FALSE))</f>
        <v>1400</v>
      </c>
      <c r="M68" s="43">
        <f>IF(ISBLANK($A68),"",VLOOKUP($C68,Knots,3,FALSE))</f>
        <v>5</v>
      </c>
      <c r="N68" s="43">
        <f>IF(ISBLANK($A68),"",VLOOKUP($C68,Knots,4,FALSE))</f>
        <v>1.6</v>
      </c>
      <c r="O68" s="47">
        <f>IF(ISBLANK(A68),"",M68*(F68*24))</f>
        <v>12.5</v>
      </c>
      <c r="P68" s="65">
        <f>IF(ISBLANK(A68),"",O68*$I$8)</f>
        <v>43.125</v>
      </c>
    </row>
    <row r="69" spans="1:21">
      <c r="A69" s="41"/>
      <c r="B69" s="48"/>
      <c r="C69" s="48" t="str">
        <f>IF(ISBLANK(A69),"",Plan_Speed)</f>
        <v/>
      </c>
      <c r="D69" s="48"/>
      <c r="E69" s="43" t="str">
        <f>IF(ISBLANK(A69),"",C69+D69)</f>
        <v/>
      </c>
      <c r="F69" s="44" t="str">
        <f>IF(ISBLANK(A69),"",(B69/E69)/24)</f>
        <v/>
      </c>
      <c r="G69" s="46" t="str">
        <f>IF(I67="G","",IF(ISBLANK(A69),"",G68+H68+F69))</f>
        <v/>
      </c>
      <c r="H69" s="52"/>
      <c r="I69" s="43"/>
      <c r="J69" s="46" t="str">
        <f>IF(ISBLANK(I67),"",IF(ISBLANK(A69),"",J68+H69+F69))</f>
        <v/>
      </c>
      <c r="K69" s="46"/>
      <c r="L69" s="43" t="str">
        <f>IF(ISBLANK($A69),"",VLOOKUP($C69,Knots,2,FALSE))</f>
        <v/>
      </c>
      <c r="M69" s="43" t="str">
        <f>IF(ISBLANK($A69),"",VLOOKUP($C69,Knots,3,FALSE))</f>
        <v/>
      </c>
      <c r="N69" s="43" t="str">
        <f>IF(ISBLANK($A69),"",VLOOKUP($C69,Knots,4,FALSE))</f>
        <v/>
      </c>
      <c r="O69" s="47" t="str">
        <f>IF(ISBLANK(A69),"",M69*(F69*24))</f>
        <v/>
      </c>
      <c r="P69" s="65" t="str">
        <f>IF(ISBLANK(A69),"",O69*$I$8)</f>
        <v/>
      </c>
    </row>
    <row r="70" spans="1:21">
      <c r="A70" s="92" t="s">
        <v>76</v>
      </c>
      <c r="B70">
        <f>SUM(B64:B69)</f>
        <v>48</v>
      </c>
      <c r="E70" s="67" t="s">
        <v>75</v>
      </c>
      <c r="F70" s="77">
        <f>SUM(F65:F69)</f>
        <v>0.21064814814814814</v>
      </c>
      <c r="H70" s="14" t="s">
        <v>147</v>
      </c>
    </row>
    <row r="73" spans="1:21" ht="15">
      <c r="A73" s="37" t="s">
        <v>118</v>
      </c>
      <c r="G73" s="14" t="s">
        <v>66</v>
      </c>
      <c r="J73" s="74" t="s">
        <v>70</v>
      </c>
    </row>
    <row r="74" spans="1:21">
      <c r="A74" s="38" t="s">
        <v>45</v>
      </c>
      <c r="B74" s="39" t="s">
        <v>46</v>
      </c>
      <c r="C74" s="39" t="s">
        <v>47</v>
      </c>
      <c r="D74" s="39" t="s">
        <v>48</v>
      </c>
      <c r="E74" s="39" t="s">
        <v>49</v>
      </c>
      <c r="F74" s="39" t="s">
        <v>51</v>
      </c>
      <c r="G74" s="39" t="s">
        <v>12</v>
      </c>
      <c r="H74" s="39" t="s">
        <v>59</v>
      </c>
      <c r="I74" s="39" t="s">
        <v>53</v>
      </c>
      <c r="J74" s="39" t="s">
        <v>52</v>
      </c>
      <c r="K74" s="39" t="s">
        <v>54</v>
      </c>
      <c r="L74" s="39" t="s">
        <v>31</v>
      </c>
      <c r="M74" s="39" t="s">
        <v>32</v>
      </c>
      <c r="N74" s="39" t="s">
        <v>55</v>
      </c>
      <c r="O74" s="39" t="s">
        <v>56</v>
      </c>
      <c r="P74" s="39" t="s">
        <v>57</v>
      </c>
    </row>
    <row r="75" spans="1:21">
      <c r="A75" s="15" t="s">
        <v>134</v>
      </c>
      <c r="B75" s="45"/>
      <c r="C75" s="45"/>
      <c r="D75" s="45"/>
      <c r="E75" s="45"/>
      <c r="F75" s="45"/>
      <c r="G75" s="51">
        <v>0.375</v>
      </c>
      <c r="H75" s="45"/>
      <c r="I75" s="45"/>
      <c r="J75" s="46" t="str">
        <f>IF(I77="G",IF(ISBLANK(A76),J76,J76-F76),"")</f>
        <v/>
      </c>
      <c r="K75" s="45"/>
      <c r="L75" s="45"/>
      <c r="M75" s="45"/>
      <c r="N75" s="45"/>
      <c r="O75" s="45"/>
      <c r="P75" s="64">
        <f>SUM(P76:P80)</f>
        <v>17.25</v>
      </c>
      <c r="R75" s="66">
        <f>P75</f>
        <v>17.25</v>
      </c>
      <c r="S75" s="70">
        <f>SUM(O76:O80)</f>
        <v>5</v>
      </c>
    </row>
    <row r="76" spans="1:21">
      <c r="A76" s="15" t="s">
        <v>135</v>
      </c>
      <c r="B76" s="48">
        <v>8</v>
      </c>
      <c r="C76" s="48">
        <f>IF(ISBLANK(A76),"",Plan_Speed)</f>
        <v>8</v>
      </c>
      <c r="D76" s="48"/>
      <c r="E76" s="43">
        <f>IF(ISBLANK(A76),"",C76+D76)</f>
        <v>8</v>
      </c>
      <c r="F76" s="44">
        <f>IF(ISBLANK(A76),"",(B76/E76)/24)</f>
        <v>4.1666666666666664E-2</v>
      </c>
      <c r="G76" s="46">
        <f>IF(I77="G","",IF(ISBLANK(A76),"",G75+H75+F76))</f>
        <v>0.41666666666666669</v>
      </c>
      <c r="H76" s="52"/>
      <c r="I76" s="43"/>
      <c r="J76" s="46" t="str">
        <f>IF(I77="G",K77-F77-H76,"")</f>
        <v/>
      </c>
      <c r="K76" s="46"/>
      <c r="L76" s="43">
        <f>IF(ISBLANK($A76),"",VLOOKUP($C76,Knots,2,FALSE))</f>
        <v>1400</v>
      </c>
      <c r="M76" s="43">
        <f>IF(ISBLANK($A76),"",VLOOKUP($C76,Knots,3,FALSE))</f>
        <v>5</v>
      </c>
      <c r="N76" s="43">
        <f>IF(ISBLANK($A76),"",VLOOKUP($C76,Knots,4,FALSE))</f>
        <v>1.6</v>
      </c>
      <c r="O76" s="47">
        <f>IF(ISBLANK(A76),"",M76*(F76*24))</f>
        <v>5</v>
      </c>
      <c r="P76" s="65">
        <f>IF(ISBLANK(A76),"",O76*$I$8)</f>
        <v>17.25</v>
      </c>
    </row>
    <row r="77" spans="1:21">
      <c r="A77" s="83"/>
      <c r="B77" s="91"/>
      <c r="C77" s="48" t="str">
        <f>IF(ISBLANK(A77),"",Plan_Speed)</f>
        <v/>
      </c>
      <c r="D77" s="48"/>
      <c r="E77" s="43" t="str">
        <f>IF(ISBLANK(A77),"",C77+D77)</f>
        <v/>
      </c>
      <c r="F77" s="44" t="str">
        <f>IF(ISBLANK(A77),"",(B77/E77)/24)</f>
        <v/>
      </c>
      <c r="G77" s="46" t="str">
        <f>IF(I77="G","",IF(ISBLANK(A77),"",G76+H76+F77))</f>
        <v/>
      </c>
      <c r="H77" s="52"/>
      <c r="I77" s="72"/>
      <c r="J77" s="73" t="str">
        <f>IF(I77="G",K77,"")</f>
        <v/>
      </c>
      <c r="K77" s="52"/>
      <c r="L77" s="43" t="str">
        <f>IF(ISBLANK($A77),"",VLOOKUP($C77,Knots,2,FALSE))</f>
        <v/>
      </c>
      <c r="M77" s="43" t="str">
        <f>IF(ISBLANK($A77),"",VLOOKUP($C77,Knots,3,FALSE))</f>
        <v/>
      </c>
      <c r="N77" s="43" t="str">
        <f>IF(ISBLANK($A77),"",VLOOKUP($C77,Knots,4,FALSE))</f>
        <v/>
      </c>
      <c r="O77" s="47" t="str">
        <f>IF(ISBLANK(A77),"",M77*(F77*24))</f>
        <v/>
      </c>
      <c r="P77" s="65" t="str">
        <f>IF(ISBLANK(A77),"",O77*$I$8)</f>
        <v/>
      </c>
      <c r="T77" s="66" t="str">
        <f>P77</f>
        <v/>
      </c>
      <c r="U77" s="70" t="str">
        <f>O77</f>
        <v/>
      </c>
    </row>
    <row r="78" spans="1:21">
      <c r="A78" s="42"/>
      <c r="B78" s="48"/>
      <c r="C78" s="48" t="str">
        <f>IF(ISBLANK(A78),"",Plan_Speed)</f>
        <v/>
      </c>
      <c r="D78" s="48"/>
      <c r="E78" s="43" t="str">
        <f>IF(ISBLANK(A78),"",C78+D78)</f>
        <v/>
      </c>
      <c r="F78" s="44" t="str">
        <f>IF(ISBLANK(A78),"",(B78/E78)/24)</f>
        <v/>
      </c>
      <c r="G78" s="46" t="str">
        <f>IF(I77="G","",IF(ISBLANK(A78),"",G77+H77+F78))</f>
        <v/>
      </c>
      <c r="H78" s="52"/>
      <c r="I78" s="43"/>
      <c r="J78" s="46" t="str">
        <f>IF(ISBLANK(I77),"",IF(ISBLANK(A78),"",J77+H78+F78))</f>
        <v/>
      </c>
      <c r="K78" s="46"/>
      <c r="L78" s="43" t="str">
        <f>IF(ISBLANK($A78),"",VLOOKUP($C78,Knots,2,FALSE))</f>
        <v/>
      </c>
      <c r="M78" s="43" t="str">
        <f>IF(ISBLANK($A78),"",VLOOKUP($C78,Knots,3,FALSE))</f>
        <v/>
      </c>
      <c r="N78" s="43" t="str">
        <f>IF(ISBLANK($A78),"",VLOOKUP($C78,Knots,4,FALSE))</f>
        <v/>
      </c>
      <c r="O78" s="47" t="str">
        <f>IF(ISBLANK(A78),"",M78*(F78*24))</f>
        <v/>
      </c>
      <c r="P78" s="65" t="str">
        <f>IF(ISBLANK(A78),"",O78*$I$8)</f>
        <v/>
      </c>
    </row>
    <row r="79" spans="1:21">
      <c r="A79" s="42"/>
      <c r="B79" s="48"/>
      <c r="C79" s="48" t="str">
        <f>IF(ISBLANK(A79),"",Plan_Speed)</f>
        <v/>
      </c>
      <c r="D79" s="48"/>
      <c r="E79" s="43" t="str">
        <f>IF(ISBLANK(A79),"",C79+D79)</f>
        <v/>
      </c>
      <c r="F79" s="44" t="str">
        <f>IF(ISBLANK(A79),"",(B79/E79)/24)</f>
        <v/>
      </c>
      <c r="G79" s="46" t="str">
        <f>IF(I77="G","",IF(ISBLANK(A79),"",G78+H78+F79))</f>
        <v/>
      </c>
      <c r="H79" s="52"/>
      <c r="I79" s="43"/>
      <c r="J79" s="46" t="str">
        <f>IF(ISBLANK(I77),"",IF(ISBLANK(A79),"",J78+H79+F79))</f>
        <v/>
      </c>
      <c r="K79" s="46"/>
      <c r="L79" s="43" t="str">
        <f>IF(ISBLANK($A79),"",VLOOKUP($C79,Knots,2,FALSE))</f>
        <v/>
      </c>
      <c r="M79" s="43" t="str">
        <f>IF(ISBLANK($A79),"",VLOOKUP($C79,Knots,3,FALSE))</f>
        <v/>
      </c>
      <c r="N79" s="43" t="str">
        <f>IF(ISBLANK($A79),"",VLOOKUP($C79,Knots,4,FALSE))</f>
        <v/>
      </c>
      <c r="O79" s="47" t="str">
        <f>IF(ISBLANK(A79),"",M79*(F79*24))</f>
        <v/>
      </c>
      <c r="P79" s="65" t="str">
        <f>IF(ISBLANK(A79),"",O79*$I$8)</f>
        <v/>
      </c>
    </row>
    <row r="80" spans="1:21">
      <c r="A80" s="42"/>
      <c r="B80" s="48"/>
      <c r="C80" s="48" t="str">
        <f>IF(ISBLANK(A80),"",Plan_Speed)</f>
        <v/>
      </c>
      <c r="D80" s="48"/>
      <c r="E80" s="43" t="str">
        <f>IF(ISBLANK(A80),"",C80+D80)</f>
        <v/>
      </c>
      <c r="F80" s="44" t="str">
        <f>IF(ISBLANK(A80),"",(B80/E80)/24)</f>
        <v/>
      </c>
      <c r="G80" s="46" t="str">
        <f>IF(I77="G","",IF(ISBLANK(A80),"",G78+H78+F80))</f>
        <v/>
      </c>
      <c r="H80" s="52"/>
      <c r="I80" s="43"/>
      <c r="J80" s="46" t="str">
        <f>IF(ISBLANK(I77),"",IF(ISBLANK(A80),"",J79+H80+F80))</f>
        <v/>
      </c>
      <c r="K80" s="46"/>
      <c r="L80" s="43" t="str">
        <f>IF(ISBLANK($A80),"",VLOOKUP($C80,Knots,2,FALSE))</f>
        <v/>
      </c>
      <c r="M80" s="43" t="str">
        <f>IF(ISBLANK($A80),"",VLOOKUP($C80,Knots,3,FALSE))</f>
        <v/>
      </c>
      <c r="N80" s="43" t="str">
        <f>IF(ISBLANK($A80),"",VLOOKUP($C80,Knots,4,FALSE))</f>
        <v/>
      </c>
      <c r="O80" s="47" t="str">
        <f>IF(ISBLANK(A80),"",M80*(F80*24))</f>
        <v/>
      </c>
      <c r="P80" s="65" t="str">
        <f>IF(ISBLANK(A80),"",O80*$I$8)</f>
        <v/>
      </c>
    </row>
    <row r="81" spans="1:25">
      <c r="A81" s="92" t="s">
        <v>76</v>
      </c>
      <c r="B81">
        <f>SUM(B74:B80)</f>
        <v>8</v>
      </c>
      <c r="E81" s="67" t="s">
        <v>75</v>
      </c>
      <c r="F81" s="77">
        <f>SUM(F75:F80)</f>
        <v>4.1666666666666664E-2</v>
      </c>
      <c r="H81" s="14" t="s">
        <v>149</v>
      </c>
    </row>
    <row r="82" spans="1:25">
      <c r="A82" s="97"/>
      <c r="E82" s="67"/>
      <c r="F82" s="77"/>
    </row>
    <row r="83" spans="1:25">
      <c r="V83" s="16"/>
      <c r="W83" s="16"/>
      <c r="X83" s="16"/>
      <c r="Y83" s="16"/>
    </row>
    <row r="84" spans="1:25">
      <c r="V84" s="16"/>
      <c r="W84" s="16"/>
      <c r="X84" s="16"/>
      <c r="Y84" s="16"/>
    </row>
    <row r="85" spans="1:25" ht="15">
      <c r="A85" s="37" t="s">
        <v>119</v>
      </c>
      <c r="G85" s="14" t="s">
        <v>66</v>
      </c>
      <c r="J85" s="74" t="s">
        <v>70</v>
      </c>
      <c r="V85" s="16"/>
      <c r="W85" s="115"/>
      <c r="X85" s="16"/>
      <c r="Y85" s="16"/>
    </row>
    <row r="86" spans="1:25">
      <c r="A86" s="38" t="s">
        <v>45</v>
      </c>
      <c r="B86" s="39" t="s">
        <v>46</v>
      </c>
      <c r="C86" s="39" t="s">
        <v>47</v>
      </c>
      <c r="D86" s="39" t="s">
        <v>48</v>
      </c>
      <c r="E86" s="39" t="s">
        <v>49</v>
      </c>
      <c r="F86" s="39" t="s">
        <v>51</v>
      </c>
      <c r="G86" s="39" t="s">
        <v>12</v>
      </c>
      <c r="H86" s="39" t="s">
        <v>59</v>
      </c>
      <c r="I86" s="39" t="s">
        <v>53</v>
      </c>
      <c r="J86" s="39" t="s">
        <v>52</v>
      </c>
      <c r="K86" s="39" t="s">
        <v>54</v>
      </c>
      <c r="L86" s="39" t="s">
        <v>31</v>
      </c>
      <c r="M86" s="39" t="s">
        <v>32</v>
      </c>
      <c r="N86" s="39" t="s">
        <v>55</v>
      </c>
      <c r="O86" s="39" t="s">
        <v>56</v>
      </c>
      <c r="P86" s="39" t="s">
        <v>57</v>
      </c>
      <c r="V86" s="16"/>
      <c r="W86" s="76"/>
      <c r="X86" s="16"/>
      <c r="Y86" s="16"/>
    </row>
    <row r="87" spans="1:25">
      <c r="A87" s="15" t="s">
        <v>135</v>
      </c>
      <c r="B87" s="45"/>
      <c r="C87" s="45"/>
      <c r="D87" s="45"/>
      <c r="E87" s="45"/>
      <c r="F87" s="45"/>
      <c r="G87" s="51">
        <v>0.35416666666666669</v>
      </c>
      <c r="H87" s="45"/>
      <c r="I87" s="45"/>
      <c r="J87" s="46" t="str">
        <f>IF(I89="G",IF(ISBLANK(A88),J88,J88-F88),"")</f>
        <v/>
      </c>
      <c r="K87" s="45"/>
      <c r="L87" s="45"/>
      <c r="M87" s="45"/>
      <c r="N87" s="45"/>
      <c r="O87" s="45"/>
      <c r="P87" s="64">
        <f>SUM(P88:P92)</f>
        <v>60.375</v>
      </c>
      <c r="R87" s="66">
        <f>P87</f>
        <v>60.375</v>
      </c>
      <c r="S87" s="70">
        <f>SUM(O88:O91)</f>
        <v>17.5</v>
      </c>
      <c r="V87" s="16"/>
      <c r="W87" s="36"/>
      <c r="X87" s="16"/>
      <c r="Y87" s="16"/>
    </row>
    <row r="88" spans="1:25">
      <c r="A88" s="15" t="s">
        <v>136</v>
      </c>
      <c r="B88" s="48">
        <v>28</v>
      </c>
      <c r="C88" s="48">
        <f>IF(ISBLANK(A88),"",Plan_Speed)</f>
        <v>8</v>
      </c>
      <c r="D88" s="48"/>
      <c r="E88" s="43">
        <f>IF(ISBLANK(A88),"",C88+D88)</f>
        <v>8</v>
      </c>
      <c r="F88" s="44">
        <f>IF(ISBLANK(A88),"",(B88/E88)/24)</f>
        <v>0.14583333333333334</v>
      </c>
      <c r="G88" s="46">
        <f>IF(I89="G","",IF(ISBLANK(A88),"",G87+H87+F88))</f>
        <v>0.5</v>
      </c>
      <c r="H88" s="52"/>
      <c r="I88" s="43"/>
      <c r="J88" s="46" t="str">
        <f>IF(I89="G",K89-F89-H88,"")</f>
        <v/>
      </c>
      <c r="K88" s="46"/>
      <c r="L88" s="43">
        <f>IF(ISBLANK($A88),"",VLOOKUP($C88,Knots,2,FALSE))</f>
        <v>1400</v>
      </c>
      <c r="M88" s="43">
        <f>IF(ISBLANK($A88),"",VLOOKUP($C88,Knots,3,FALSE))</f>
        <v>5</v>
      </c>
      <c r="N88" s="43">
        <f>IF(ISBLANK($A88),"",VLOOKUP($C88,Knots,4,FALSE))</f>
        <v>1.6</v>
      </c>
      <c r="O88" s="47">
        <f>IF(ISBLANK(A88),"",M88*(F88*24))</f>
        <v>17.5</v>
      </c>
      <c r="P88" s="65">
        <f>IF(ISBLANK(A88),"",O88*$I$8)</f>
        <v>60.375</v>
      </c>
      <c r="V88" s="16"/>
      <c r="W88" s="36"/>
      <c r="X88" s="16"/>
      <c r="Y88" s="16"/>
    </row>
    <row r="89" spans="1:25">
      <c r="A89" s="42"/>
      <c r="B89" s="72"/>
      <c r="C89" s="48" t="str">
        <f>IF(ISBLANK(A89),"",Plan_Speed)</f>
        <v/>
      </c>
      <c r="D89" s="48"/>
      <c r="E89" s="43" t="str">
        <f>IF(ISBLANK(A89),"",C89+D89)</f>
        <v/>
      </c>
      <c r="F89" s="44" t="str">
        <f>IF(ISBLANK(A89),"",(B89/E89)/24)</f>
        <v/>
      </c>
      <c r="G89" s="46" t="str">
        <f>IF(I89="G","",IF(ISBLANK(A89),"",G88+H88+F89))</f>
        <v/>
      </c>
      <c r="H89" s="52"/>
      <c r="I89" s="72"/>
      <c r="J89" s="73" t="str">
        <f>IF(I89="G",K89,"")</f>
        <v/>
      </c>
      <c r="K89" s="52"/>
      <c r="L89" s="43" t="str">
        <f>IF(ISBLANK($A89),"",VLOOKUP($C89,Knots,2,FALSE))</f>
        <v/>
      </c>
      <c r="M89" s="43" t="str">
        <f>IF(ISBLANK($A89),"",VLOOKUP($C89,Knots,3,FALSE))</f>
        <v/>
      </c>
      <c r="N89" s="43" t="str">
        <f>IF(ISBLANK($A89),"",VLOOKUP($C89,Knots,4,FALSE))</f>
        <v/>
      </c>
      <c r="O89" s="47" t="str">
        <f>IF(ISBLANK(A89),"",M89*(F89*24))</f>
        <v/>
      </c>
      <c r="P89" s="65" t="str">
        <f>IF(ISBLANK(A89),"",O89*$I$8)</f>
        <v/>
      </c>
      <c r="V89" s="16"/>
      <c r="W89" s="116"/>
      <c r="X89" s="16"/>
      <c r="Y89" s="16"/>
    </row>
    <row r="90" spans="1:25">
      <c r="A90" s="42"/>
      <c r="B90" s="48"/>
      <c r="C90" s="48" t="str">
        <f>IF(ISBLANK(A90),"",Plan_Speed)</f>
        <v/>
      </c>
      <c r="D90" s="48"/>
      <c r="E90" s="43" t="str">
        <f>IF(ISBLANK(A90),"",C90+D90)</f>
        <v/>
      </c>
      <c r="F90" s="44" t="str">
        <f>IF(ISBLANK(A90),"",(B90/E90)/24)</f>
        <v/>
      </c>
      <c r="G90" s="46" t="str">
        <f>IF(I89="G","",IF(ISBLANK(A90),"",G89+H89+F90))</f>
        <v/>
      </c>
      <c r="H90" s="52"/>
      <c r="I90" s="43"/>
      <c r="J90" s="46" t="str">
        <f>IF(ISBLANK(I89),"",IF(ISBLANK(A90),"",J89+H90+F90))</f>
        <v/>
      </c>
      <c r="K90" s="46"/>
      <c r="L90" s="43" t="str">
        <f>IF(ISBLANK($A90),"",VLOOKUP($C90,Knots,2,FALSE))</f>
        <v/>
      </c>
      <c r="M90" s="43" t="str">
        <f>IF(ISBLANK($A90),"",VLOOKUP($C90,Knots,3,FALSE))</f>
        <v/>
      </c>
      <c r="N90" s="43" t="str">
        <f>IF(ISBLANK($A90),"",VLOOKUP($C90,Knots,4,FALSE))</f>
        <v/>
      </c>
      <c r="O90" s="47" t="str">
        <f>IF(ISBLANK(A90),"",M90*(F90*24))</f>
        <v/>
      </c>
      <c r="P90" s="65" t="str">
        <f>IF(ISBLANK(A90),"",O90*$I$8)</f>
        <v/>
      </c>
      <c r="V90" s="16"/>
      <c r="W90" s="36"/>
      <c r="X90" s="16"/>
      <c r="Y90" s="16"/>
    </row>
    <row r="91" spans="1:25">
      <c r="A91" s="41"/>
      <c r="B91" s="48"/>
      <c r="C91" s="48" t="str">
        <f>IF(ISBLANK(A91),"",Plan_Speed)</f>
        <v/>
      </c>
      <c r="D91" s="48"/>
      <c r="E91" s="43" t="str">
        <f>IF(ISBLANK(A91),"",C91+D91)</f>
        <v/>
      </c>
      <c r="F91" s="44" t="str">
        <f>IF(ISBLANK(A91),"",(B91/E91)/24)</f>
        <v/>
      </c>
      <c r="G91" s="46" t="str">
        <f>IF(I89="G","",IF(ISBLANK(A91),"",G90+H90+F91))</f>
        <v/>
      </c>
      <c r="H91" s="52"/>
      <c r="I91" s="43"/>
      <c r="J91" s="46" t="str">
        <f>IF(ISBLANK(I89),"",IF(ISBLANK(A91),"",J90+H91+F91))</f>
        <v/>
      </c>
      <c r="K91" s="46"/>
      <c r="L91" s="43" t="str">
        <f>IF(ISBLANK($A91),"",VLOOKUP($C91,Knots,2,FALSE))</f>
        <v/>
      </c>
      <c r="M91" s="43" t="str">
        <f>IF(ISBLANK($A91),"",VLOOKUP($C91,Knots,3,FALSE))</f>
        <v/>
      </c>
      <c r="N91" s="43" t="str">
        <f>IF(ISBLANK($A91),"",VLOOKUP($C91,Knots,4,FALSE))</f>
        <v/>
      </c>
      <c r="O91" s="47" t="str">
        <f>IF(ISBLANK(A91),"",M91*(F91*24))</f>
        <v/>
      </c>
      <c r="P91" s="65" t="str">
        <f>IF(ISBLANK(A91),"",O91*$I$8)</f>
        <v/>
      </c>
      <c r="V91" s="16"/>
      <c r="W91" s="16"/>
      <c r="X91" s="16"/>
      <c r="Y91" s="16"/>
    </row>
    <row r="92" spans="1:25">
      <c r="A92" s="92"/>
      <c r="B92" s="48"/>
      <c r="C92" s="48" t="str">
        <f>IF(ISBLANK(A92),"",Plan_Speed)</f>
        <v/>
      </c>
      <c r="D92" s="48"/>
      <c r="E92" s="43" t="str">
        <f>IF(ISBLANK(A92),"",C92+D92)</f>
        <v/>
      </c>
      <c r="F92" s="44" t="str">
        <f>IF(ISBLANK(A92),"",(B92/E92)/24)</f>
        <v/>
      </c>
      <c r="G92" s="46" t="str">
        <f>IF(I89="G","",IF(ISBLANK(A92),"",G90+H90+F92))</f>
        <v/>
      </c>
      <c r="H92" s="52"/>
      <c r="I92" s="43"/>
      <c r="J92" s="46" t="str">
        <f>IF(ISBLANK(I89),"",IF(ISBLANK(A92),"",J91+H92+F92))</f>
        <v/>
      </c>
      <c r="K92" s="46"/>
      <c r="L92" s="43" t="str">
        <f>IF(ISBLANK($A92),"",VLOOKUP($C92,Knots,2,FALSE))</f>
        <v/>
      </c>
      <c r="M92" s="43" t="str">
        <f>IF(ISBLANK($A92),"",VLOOKUP($C92,Knots,3,FALSE))</f>
        <v/>
      </c>
      <c r="N92" s="43" t="str">
        <f>IF(ISBLANK($A92),"",VLOOKUP($C92,Knots,4,FALSE))</f>
        <v/>
      </c>
      <c r="O92" s="47" t="str">
        <f>IF(ISBLANK(A92),"",M92*(F92*24))</f>
        <v/>
      </c>
      <c r="P92" s="65" t="str">
        <f>IF(ISBLANK(A92),"",O92*$I$8)</f>
        <v/>
      </c>
      <c r="V92" s="16"/>
      <c r="W92" s="97"/>
      <c r="X92" s="16"/>
      <c r="Y92" s="16"/>
    </row>
    <row r="93" spans="1:25">
      <c r="A93" s="92" t="s">
        <v>76</v>
      </c>
      <c r="B93">
        <f>SUM(B86:B92)</f>
        <v>28</v>
      </c>
      <c r="E93" s="67" t="s">
        <v>75</v>
      </c>
      <c r="F93" s="77">
        <f>SUM(F87:F92)</f>
        <v>0.14583333333333334</v>
      </c>
      <c r="H93" t="s">
        <v>150</v>
      </c>
      <c r="V93" s="16"/>
      <c r="W93" s="16"/>
      <c r="X93" s="16"/>
      <c r="Y93" s="16"/>
    </row>
    <row r="94" spans="1:25">
      <c r="V94" s="16"/>
      <c r="W94" s="16"/>
      <c r="X94" s="16"/>
      <c r="Y94" s="16"/>
    </row>
    <row r="96" spans="1:25" ht="15">
      <c r="A96" s="37" t="s">
        <v>120</v>
      </c>
      <c r="G96" s="14" t="s">
        <v>66</v>
      </c>
      <c r="J96" s="74" t="s">
        <v>70</v>
      </c>
    </row>
    <row r="97" spans="1:21">
      <c r="A97" s="38" t="s">
        <v>45</v>
      </c>
      <c r="B97" s="39" t="s">
        <v>46</v>
      </c>
      <c r="C97" s="39" t="s">
        <v>47</v>
      </c>
      <c r="D97" s="39" t="s">
        <v>48</v>
      </c>
      <c r="E97" s="39" t="s">
        <v>49</v>
      </c>
      <c r="F97" s="39" t="s">
        <v>51</v>
      </c>
      <c r="G97" s="39" t="s">
        <v>12</v>
      </c>
      <c r="H97" s="39" t="s">
        <v>59</v>
      </c>
      <c r="I97" s="39" t="s">
        <v>53</v>
      </c>
      <c r="J97" s="39" t="s">
        <v>52</v>
      </c>
      <c r="K97" s="39" t="s">
        <v>54</v>
      </c>
      <c r="L97" s="39" t="s">
        <v>31</v>
      </c>
      <c r="M97" s="39" t="s">
        <v>32</v>
      </c>
      <c r="N97" s="39" t="s">
        <v>55</v>
      </c>
      <c r="O97" s="39" t="s">
        <v>56</v>
      </c>
      <c r="P97" s="39" t="s">
        <v>57</v>
      </c>
    </row>
    <row r="98" spans="1:21">
      <c r="A98" s="15" t="s">
        <v>136</v>
      </c>
      <c r="B98" s="45"/>
      <c r="C98" s="45"/>
      <c r="D98" s="45"/>
      <c r="E98" s="45"/>
      <c r="F98" s="45"/>
      <c r="G98" s="51"/>
      <c r="H98" s="45"/>
      <c r="I98" s="45"/>
      <c r="J98" s="46">
        <f>IF(I100="G",IF(ISBLANK(A99),J99,J99-F99),"")</f>
        <v>0.41666666666666669</v>
      </c>
      <c r="K98" s="45"/>
      <c r="L98" s="45"/>
      <c r="M98" s="45"/>
      <c r="N98" s="45"/>
      <c r="O98" s="45"/>
      <c r="P98" s="64">
        <f>SUM(P99:P103)</f>
        <v>58.21875</v>
      </c>
      <c r="R98" s="66">
        <f>P98</f>
        <v>58.21875</v>
      </c>
      <c r="S98" s="70">
        <f>SUM(O99:O103)</f>
        <v>16.875</v>
      </c>
    </row>
    <row r="99" spans="1:21">
      <c r="A99" s="15"/>
      <c r="B99" s="48"/>
      <c r="C99" s="48" t="str">
        <f>IF(ISBLANK(A99),"",Plan_Speed)</f>
        <v/>
      </c>
      <c r="D99" s="48"/>
      <c r="E99" s="43" t="str">
        <f>IF(ISBLANK(A99),"",C99+D99)</f>
        <v/>
      </c>
      <c r="F99" s="44" t="str">
        <f>IF(ISBLANK(A99),"",(B99/E99)/24)</f>
        <v/>
      </c>
      <c r="G99" s="46" t="str">
        <f>IF(I100="G","",IF(ISBLANK(A99),"",G98+H98+F99))</f>
        <v/>
      </c>
      <c r="H99" s="52"/>
      <c r="I99" s="43"/>
      <c r="J99" s="46">
        <f>IF(I100="G",K100-F100-H99,"")</f>
        <v>0.41666666666666669</v>
      </c>
      <c r="K99" s="46"/>
      <c r="L99" s="43" t="str">
        <f>IF(ISBLANK($A99),"",VLOOKUP($C99,Knots,2,FALSE))</f>
        <v/>
      </c>
      <c r="M99" s="43" t="str">
        <f>IF(ISBLANK($A99),"",VLOOKUP($C99,Knots,3,FALSE))</f>
        <v/>
      </c>
      <c r="N99" s="43" t="str">
        <f>IF(ISBLANK($A99),"",VLOOKUP($C99,Knots,4,FALSE))</f>
        <v/>
      </c>
      <c r="O99" s="47" t="str">
        <f>IF(ISBLANK(A99),"",M99*(F99*24))</f>
        <v/>
      </c>
      <c r="P99" s="65" t="str">
        <f>IF(ISBLANK(A99),"",O99*$I$8)</f>
        <v/>
      </c>
    </row>
    <row r="100" spans="1:21">
      <c r="A100" s="42" t="s">
        <v>151</v>
      </c>
      <c r="B100" s="48">
        <v>18</v>
      </c>
      <c r="C100" s="48">
        <f>IF(ISBLANK(A100),"",Plan_Speed)</f>
        <v>8</v>
      </c>
      <c r="D100" s="48">
        <v>1</v>
      </c>
      <c r="E100" s="43">
        <f>IF(ISBLANK(A100),"",C100+D100)</f>
        <v>9</v>
      </c>
      <c r="F100" s="44">
        <f>IF(ISBLANK(A100),"",(B100/E100)/24)</f>
        <v>8.3333333333333329E-2</v>
      </c>
      <c r="G100" s="46" t="str">
        <f>IF(I100="G","",IF(ISBLANK(A100),"",G99+H99+F100))</f>
        <v/>
      </c>
      <c r="H100" s="52"/>
      <c r="I100" s="72" t="s">
        <v>53</v>
      </c>
      <c r="J100" s="73">
        <f>IF(I100="G",K100,"")</f>
        <v>0.5</v>
      </c>
      <c r="K100" s="52">
        <v>0.5</v>
      </c>
      <c r="L100" s="43">
        <f>IF(ISBLANK($A100),"",VLOOKUP($C100,Knots,2,FALSE))</f>
        <v>1400</v>
      </c>
      <c r="M100" s="43">
        <f>IF(ISBLANK($A100),"",VLOOKUP($C100,Knots,3,FALSE))</f>
        <v>5</v>
      </c>
      <c r="N100" s="43">
        <f>IF(ISBLANK($A100),"",VLOOKUP($C100,Knots,4,FALSE))</f>
        <v>1.6</v>
      </c>
      <c r="O100" s="47">
        <f>IF(ISBLANK(A100),"",M100*(F100*24))</f>
        <v>10</v>
      </c>
      <c r="P100" s="65">
        <f>IF(ISBLANK(A100),"",O100*$I$8)</f>
        <v>34.5</v>
      </c>
    </row>
    <row r="101" spans="1:21">
      <c r="A101" s="15" t="s">
        <v>137</v>
      </c>
      <c r="B101" s="48">
        <v>11</v>
      </c>
      <c r="C101" s="48">
        <f>IF(ISBLANK(A101),"",Plan_Speed)</f>
        <v>8</v>
      </c>
      <c r="D101" s="48"/>
      <c r="E101" s="43">
        <f>IF(ISBLANK(A101),"",C101+D101)</f>
        <v>8</v>
      </c>
      <c r="F101" s="44">
        <f>IF(ISBLANK(A101),"",(B101/E101)/24)</f>
        <v>5.7291666666666664E-2</v>
      </c>
      <c r="G101" s="46" t="str">
        <f>IF(I100="G","",IF(ISBLANK(A101),"",G100+H100+F101))</f>
        <v/>
      </c>
      <c r="H101" s="52"/>
      <c r="I101" s="43"/>
      <c r="J101" s="46">
        <f>IF(ISBLANK(I100),"",IF(ISBLANK(A101),"",J100+H101+F101))</f>
        <v>0.55729166666666663</v>
      </c>
      <c r="K101" s="46"/>
      <c r="L101" s="43">
        <f>IF(ISBLANK($A101),"",VLOOKUP($C101,Knots,2,FALSE))</f>
        <v>1400</v>
      </c>
      <c r="M101" s="43">
        <f>IF(ISBLANK($A101),"",VLOOKUP($C101,Knots,3,FALSE))</f>
        <v>5</v>
      </c>
      <c r="N101" s="43">
        <f>IF(ISBLANK($A101),"",VLOOKUP($C101,Knots,4,FALSE))</f>
        <v>1.6</v>
      </c>
      <c r="O101" s="47">
        <f>IF(ISBLANK(A101),"",M101*(F101*24))</f>
        <v>6.875</v>
      </c>
      <c r="P101" s="65">
        <f>IF(ISBLANK(A101),"",O101*$I$8)</f>
        <v>23.71875</v>
      </c>
    </row>
    <row r="102" spans="1:21">
      <c r="A102" s="83"/>
      <c r="B102" s="91"/>
      <c r="C102" s="91"/>
      <c r="D102" s="48"/>
      <c r="E102" s="43" t="str">
        <f>IF(ISBLANK(A102),"",C102+D102)</f>
        <v/>
      </c>
      <c r="F102" s="44" t="str">
        <f>IF(ISBLANK(A102),"",(B102/E102)/24)</f>
        <v/>
      </c>
      <c r="G102" s="46" t="str">
        <f>IF(I100="G","",IF(ISBLANK(A102),"",G100+H100+F102))</f>
        <v/>
      </c>
      <c r="H102" s="52"/>
      <c r="I102" s="43"/>
      <c r="J102" s="46" t="str">
        <f>IF(ISBLANK(I100),"",IF(ISBLANK(A102),"",J100+H102+F102))</f>
        <v/>
      </c>
      <c r="K102" s="46"/>
      <c r="L102" s="84" t="str">
        <f>IF(ISBLANK($A102),"",VLOOKUP($C102,Knots,2,FALSE))</f>
        <v/>
      </c>
      <c r="M102" s="84" t="str">
        <f>IF(ISBLANK($A102),"",VLOOKUP($C102,Knots,3,FALSE))</f>
        <v/>
      </c>
      <c r="N102" s="84" t="str">
        <f>IF(ISBLANK($A102),"",VLOOKUP($C102,Knots,4,FALSE))</f>
        <v/>
      </c>
      <c r="O102" s="85" t="str">
        <f>IF(ISBLANK(A102),"",M102*(F102*24))</f>
        <v/>
      </c>
      <c r="P102" s="86" t="str">
        <f>IF(ISBLANK(A102),"",O102*$I$8)</f>
        <v/>
      </c>
      <c r="T102" s="66" t="str">
        <f>P102</f>
        <v/>
      </c>
      <c r="U102" s="70" t="str">
        <f>O102</f>
        <v/>
      </c>
    </row>
    <row r="103" spans="1:21">
      <c r="A103" s="42"/>
      <c r="B103" s="48"/>
      <c r="C103" s="48" t="str">
        <f>IF(ISBLANK(A103),"",Plan_Speed)</f>
        <v/>
      </c>
      <c r="D103" s="48"/>
      <c r="E103" s="43" t="str">
        <f>IF(ISBLANK(A103),"",C103+D103)</f>
        <v/>
      </c>
      <c r="F103" s="44" t="str">
        <f>IF(ISBLANK(A103),"",(B103/E103)/24)</f>
        <v/>
      </c>
      <c r="G103" s="46" t="str">
        <f>IF(I100="G","",IF(ISBLANK(A103),"",G101+H101+F103))</f>
        <v/>
      </c>
      <c r="H103" s="52"/>
      <c r="I103" s="43"/>
      <c r="J103" s="46" t="str">
        <f>IF(ISBLANK(I100),"",IF(ISBLANK(A103),"",J101+H103+F103))</f>
        <v/>
      </c>
      <c r="K103" s="46"/>
      <c r="L103" s="43" t="str">
        <f>IF(ISBLANK($A103),"",VLOOKUP($C103,Knots,2,FALSE))</f>
        <v/>
      </c>
      <c r="M103" s="43" t="str">
        <f>IF(ISBLANK($A103),"",VLOOKUP($C103,Knots,3,FALSE))</f>
        <v/>
      </c>
      <c r="N103" s="43" t="str">
        <f>IF(ISBLANK($A103),"",VLOOKUP($C103,Knots,4,FALSE))</f>
        <v/>
      </c>
      <c r="O103" s="47" t="str">
        <f>IF(ISBLANK(A103),"",M103*(F103*24))</f>
        <v/>
      </c>
      <c r="P103" s="65" t="str">
        <f>IF(ISBLANK(A103),"",O103*$I$8)</f>
        <v/>
      </c>
    </row>
    <row r="104" spans="1:21">
      <c r="A104" s="92" t="s">
        <v>76</v>
      </c>
      <c r="B104">
        <f>SUM(B98:B103)</f>
        <v>29</v>
      </c>
      <c r="E104" s="67" t="s">
        <v>75</v>
      </c>
      <c r="F104" s="77">
        <f>SUM(F98:F103)</f>
        <v>0.140625</v>
      </c>
      <c r="H104" t="s">
        <v>152</v>
      </c>
    </row>
    <row r="108" spans="1:21" ht="15">
      <c r="A108" s="37" t="s">
        <v>121</v>
      </c>
      <c r="G108" s="14" t="s">
        <v>66</v>
      </c>
      <c r="J108" s="74" t="s">
        <v>70</v>
      </c>
    </row>
    <row r="109" spans="1:21">
      <c r="A109" s="38" t="s">
        <v>45</v>
      </c>
      <c r="B109" s="39" t="s">
        <v>46</v>
      </c>
      <c r="C109" s="39" t="s">
        <v>47</v>
      </c>
      <c r="D109" s="39" t="s">
        <v>48</v>
      </c>
      <c r="E109" s="39" t="s">
        <v>49</v>
      </c>
      <c r="F109" s="39" t="s">
        <v>51</v>
      </c>
      <c r="G109" s="39" t="s">
        <v>12</v>
      </c>
      <c r="H109" s="39" t="s">
        <v>59</v>
      </c>
      <c r="I109" s="39" t="s">
        <v>53</v>
      </c>
      <c r="J109" s="39" t="s">
        <v>52</v>
      </c>
      <c r="K109" s="39" t="s">
        <v>54</v>
      </c>
      <c r="L109" s="39" t="s">
        <v>31</v>
      </c>
      <c r="M109" s="39" t="s">
        <v>32</v>
      </c>
      <c r="N109" s="39" t="s">
        <v>55</v>
      </c>
      <c r="O109" s="39" t="s">
        <v>56</v>
      </c>
      <c r="P109" s="39" t="s">
        <v>57</v>
      </c>
    </row>
    <row r="110" spans="1:21">
      <c r="A110" s="15" t="s">
        <v>137</v>
      </c>
      <c r="B110" s="45"/>
      <c r="C110" s="45"/>
      <c r="D110" s="45"/>
      <c r="E110" s="45"/>
      <c r="F110" s="45"/>
      <c r="G110" s="51">
        <v>0.33333333333333331</v>
      </c>
      <c r="H110" s="45"/>
      <c r="I110" s="45"/>
      <c r="J110" s="46" t="str">
        <f>IF(I112="G",IF(ISBLANK(A111),J111,J111-F111),"")</f>
        <v/>
      </c>
      <c r="K110" s="45"/>
      <c r="L110" s="45"/>
      <c r="M110" s="45"/>
      <c r="N110" s="45"/>
      <c r="O110" s="45"/>
      <c r="P110" s="64">
        <f>SUM(P111:P114)</f>
        <v>102.0625</v>
      </c>
      <c r="R110" s="66">
        <f>P110</f>
        <v>102.0625</v>
      </c>
      <c r="S110" s="70">
        <f>SUM(O111:O114)</f>
        <v>29.583333333333332</v>
      </c>
    </row>
    <row r="111" spans="1:21">
      <c r="A111" s="15" t="s">
        <v>154</v>
      </c>
      <c r="B111" s="72">
        <v>6</v>
      </c>
      <c r="C111" s="48">
        <f>IF(ISBLANK(A111),"",Plan_Speed)</f>
        <v>8</v>
      </c>
      <c r="D111" s="48">
        <v>1</v>
      </c>
      <c r="E111" s="43">
        <f>IF(ISBLANK(A111),"",C111+D111)</f>
        <v>9</v>
      </c>
      <c r="F111" s="44">
        <f>IF(ISBLANK(A111),"",(B111/E111)/24)</f>
        <v>2.7777777777777776E-2</v>
      </c>
      <c r="G111" s="46">
        <f>IF(I112="G","",IF(ISBLANK(A111),"",G110+H110+F111))</f>
        <v>0.3611111111111111</v>
      </c>
      <c r="H111" s="52"/>
      <c r="I111" s="43"/>
      <c r="J111" s="46" t="str">
        <f>IF(I112="G",K112-F112-H111,"")</f>
        <v/>
      </c>
      <c r="K111" s="46"/>
      <c r="L111" s="112">
        <f>IF(ISBLANK($A111),"",VLOOKUP($C111,Knots,2,FALSE))</f>
        <v>1400</v>
      </c>
      <c r="M111" s="112">
        <f>IF(ISBLANK($A111),"",VLOOKUP($C111,Knots,3,FALSE))</f>
        <v>5</v>
      </c>
      <c r="N111" s="112">
        <f>IF(ISBLANK($A111),"",VLOOKUP($C111,Knots,4,FALSE))</f>
        <v>1.6</v>
      </c>
      <c r="O111" s="113">
        <f>IF(ISBLANK(A111),"",M111*(F111*24))</f>
        <v>3.333333333333333</v>
      </c>
      <c r="P111" s="114">
        <f>IF(ISBLANK(A111),"",O111*$I$8)</f>
        <v>11.5</v>
      </c>
    </row>
    <row r="112" spans="1:21">
      <c r="A112" s="15" t="s">
        <v>138</v>
      </c>
      <c r="B112" s="72">
        <f>48-6</f>
        <v>42</v>
      </c>
      <c r="C112" s="48">
        <f>IF(ISBLANK(A112),"",Plan_Speed)</f>
        <v>8</v>
      </c>
      <c r="D112" s="48"/>
      <c r="E112" s="43">
        <f>IF(ISBLANK(A112),"",C112+D112)</f>
        <v>8</v>
      </c>
      <c r="F112" s="44">
        <f>IF(ISBLANK(A112),"",(B112/E112)/24)</f>
        <v>0.21875</v>
      </c>
      <c r="G112" s="46">
        <f>IF(I112="G","",IF(ISBLANK(A112),"",G111+H111+F112))</f>
        <v>0.57986111111111116</v>
      </c>
      <c r="H112" s="52"/>
      <c r="I112" s="72"/>
      <c r="J112" s="73" t="str">
        <f>IF(I112="G",K112,"")</f>
        <v/>
      </c>
      <c r="K112" s="52"/>
      <c r="L112" s="43">
        <f>IF(ISBLANK($A112),"",VLOOKUP($C112,Knots,2,FALSE))</f>
        <v>1400</v>
      </c>
      <c r="M112" s="43">
        <f>IF(ISBLANK($A112),"",VLOOKUP($C112,Knots,3,FALSE))</f>
        <v>5</v>
      </c>
      <c r="N112" s="43">
        <f>IF(ISBLANK($A112),"",VLOOKUP($C112,Knots,4,FALSE))</f>
        <v>1.6</v>
      </c>
      <c r="O112" s="47">
        <f>IF(ISBLANK(A112),"",M112*(F112*24))</f>
        <v>26.25</v>
      </c>
      <c r="P112" s="65">
        <f>IF(ISBLANK(A112),"",O112*$I$8)</f>
        <v>90.5625</v>
      </c>
    </row>
    <row r="113" spans="1:21">
      <c r="A113" s="83"/>
      <c r="B113" s="91"/>
      <c r="C113" s="48" t="str">
        <f>IF(ISBLANK(A113),"",Plan_Speed)</f>
        <v/>
      </c>
      <c r="D113" s="48"/>
      <c r="E113" s="43" t="str">
        <f>IF(ISBLANK(A113),"",C113+D113)</f>
        <v/>
      </c>
      <c r="F113" s="44" t="str">
        <f>IF(ISBLANK(A113),"",(B113/E113)/24)</f>
        <v/>
      </c>
      <c r="G113" s="46" t="str">
        <f>IF(I112="G","",IF(ISBLANK(A113),"",G112+H112+F113))</f>
        <v/>
      </c>
      <c r="H113" s="52"/>
      <c r="I113" s="43"/>
      <c r="J113" s="46" t="str">
        <f>IF(ISBLANK(I112),"",IF(ISBLANK(A113),"",J112+H113+F113))</f>
        <v/>
      </c>
      <c r="K113" s="46"/>
      <c r="L113" s="84" t="str">
        <f>IF(ISBLANK($A113),"",VLOOKUP($C113,Knots,2,FALSE))</f>
        <v/>
      </c>
      <c r="M113" s="84" t="str">
        <f>IF(ISBLANK($A113),"",VLOOKUP($C113,Knots,3,FALSE))</f>
        <v/>
      </c>
      <c r="N113" s="84" t="str">
        <f>IF(ISBLANK($A113),"",VLOOKUP($C113,Knots,4,FALSE))</f>
        <v/>
      </c>
      <c r="O113" s="85" t="str">
        <f>IF(ISBLANK(A113),"",M113*(F113*24))</f>
        <v/>
      </c>
      <c r="P113" s="86" t="str">
        <f>IF(ISBLANK(A113),"",O113*$I$8)</f>
        <v/>
      </c>
      <c r="T113" s="66" t="str">
        <f>P113</f>
        <v/>
      </c>
      <c r="U113" s="70" t="str">
        <f>O113</f>
        <v/>
      </c>
    </row>
    <row r="114" spans="1:21">
      <c r="A114" s="42"/>
      <c r="B114" s="48"/>
      <c r="C114" s="48" t="str">
        <f>IF(ISBLANK(A114),"",Plan_Speed)</f>
        <v/>
      </c>
      <c r="D114" s="48"/>
      <c r="E114" s="43" t="str">
        <f>IF(ISBLANK(A114),"",C114+D114)</f>
        <v/>
      </c>
      <c r="F114" s="44" t="str">
        <f>IF(ISBLANK(A114),"",(B114/E114)/24)</f>
        <v/>
      </c>
      <c r="G114" s="46" t="str">
        <f>IF(I112="G","",IF(ISBLANK(A114),"",G113+H113+F114))</f>
        <v/>
      </c>
      <c r="H114" s="52"/>
      <c r="I114" s="43"/>
      <c r="J114" s="46" t="str">
        <f>IF(ISBLANK(I112),"",IF(ISBLANK(A114),"",J113+H114+F114))</f>
        <v/>
      </c>
      <c r="K114" s="46"/>
      <c r="L114" s="43" t="str">
        <f>IF(ISBLANK($A114),"",VLOOKUP($C114,Knots,2,FALSE))</f>
        <v/>
      </c>
      <c r="M114" s="43" t="str">
        <f>IF(ISBLANK($A114),"",VLOOKUP($C114,Knots,3,FALSE))</f>
        <v/>
      </c>
      <c r="N114" s="43" t="str">
        <f>IF(ISBLANK($A114),"",VLOOKUP($C114,Knots,4,FALSE))</f>
        <v/>
      </c>
      <c r="O114" s="47" t="str">
        <f>IF(ISBLANK(A114),"",M114*(F114*24))</f>
        <v/>
      </c>
      <c r="P114" s="65" t="str">
        <f>IF(ISBLANK(A114),"",O114*$I$8)</f>
        <v/>
      </c>
    </row>
    <row r="115" spans="1:21">
      <c r="A115" s="92" t="s">
        <v>76</v>
      </c>
      <c r="B115">
        <f>SUM(B109:B114)</f>
        <v>48</v>
      </c>
      <c r="E115" s="67" t="s">
        <v>75</v>
      </c>
      <c r="F115" s="77">
        <f>SUM(F110:F114)</f>
        <v>0.24652777777777779</v>
      </c>
      <c r="H115" t="s">
        <v>153</v>
      </c>
    </row>
    <row r="119" spans="1:21" ht="15">
      <c r="A119" s="37" t="s">
        <v>122</v>
      </c>
      <c r="G119" s="14" t="s">
        <v>66</v>
      </c>
      <c r="J119" s="74" t="s">
        <v>70</v>
      </c>
    </row>
    <row r="120" spans="1:21">
      <c r="A120" s="38" t="s">
        <v>45</v>
      </c>
      <c r="B120" s="39" t="s">
        <v>46</v>
      </c>
      <c r="C120" s="39" t="s">
        <v>47</v>
      </c>
      <c r="D120" s="39" t="s">
        <v>48</v>
      </c>
      <c r="E120" s="39" t="s">
        <v>49</v>
      </c>
      <c r="F120" s="39" t="s">
        <v>51</v>
      </c>
      <c r="G120" s="39" t="s">
        <v>12</v>
      </c>
      <c r="H120" s="39" t="s">
        <v>59</v>
      </c>
      <c r="I120" s="39" t="s">
        <v>53</v>
      </c>
      <c r="J120" s="39" t="s">
        <v>52</v>
      </c>
      <c r="K120" s="39" t="s">
        <v>54</v>
      </c>
      <c r="L120" s="39" t="s">
        <v>31</v>
      </c>
      <c r="M120" s="39" t="s">
        <v>32</v>
      </c>
      <c r="N120" s="39" t="s">
        <v>55</v>
      </c>
      <c r="O120" s="39" t="s">
        <v>56</v>
      </c>
      <c r="P120" s="39" t="s">
        <v>57</v>
      </c>
    </row>
    <row r="121" spans="1:21">
      <c r="A121" s="15" t="s">
        <v>138</v>
      </c>
      <c r="B121" s="45"/>
      <c r="C121" s="45"/>
      <c r="D121" s="45"/>
      <c r="E121" s="45"/>
      <c r="F121" s="45"/>
      <c r="G121" s="51">
        <v>0.375</v>
      </c>
      <c r="H121" s="45"/>
      <c r="I121" s="45"/>
      <c r="J121" s="46">
        <f>IF(I123="G",IF(ISBLANK(A122),J122,J122-F122),"")</f>
        <v>0.41666666666666669</v>
      </c>
      <c r="K121" s="45"/>
      <c r="L121" s="45"/>
      <c r="M121" s="45"/>
      <c r="N121" s="45"/>
      <c r="O121" s="45"/>
      <c r="P121" s="64">
        <f>SUM(P122:P125)</f>
        <v>58.21875</v>
      </c>
      <c r="R121" s="66">
        <f>P121</f>
        <v>58.21875</v>
      </c>
      <c r="S121" s="70">
        <f>SUM(O122:O125)</f>
        <v>16.875</v>
      </c>
    </row>
    <row r="122" spans="1:21">
      <c r="A122" s="15"/>
      <c r="B122" s="72"/>
      <c r="C122" s="48" t="str">
        <f>IF(ISBLANK(A122),"",Plan_Speed)</f>
        <v/>
      </c>
      <c r="D122" s="48"/>
      <c r="E122" s="43" t="str">
        <f>IF(ISBLANK(A122),"",C122+D122)</f>
        <v/>
      </c>
      <c r="F122" s="44" t="str">
        <f>IF(ISBLANK(A122),"",(B122/E122)/24)</f>
        <v/>
      </c>
      <c r="G122" s="46" t="str">
        <f>IF(I123="G","",IF(ISBLANK(A122),"",G121+H121+F122))</f>
        <v/>
      </c>
      <c r="H122" s="52"/>
      <c r="I122" s="43"/>
      <c r="J122" s="46">
        <f>IF(I123="G",K123-F123-H122,"")</f>
        <v>0.41666666666666669</v>
      </c>
      <c r="K122" s="46"/>
      <c r="L122" s="112" t="str">
        <f>IF(ISBLANK($A122),"",VLOOKUP($C122,Knots,2,FALSE))</f>
        <v/>
      </c>
      <c r="M122" s="112" t="str">
        <f>IF(ISBLANK($A122),"",VLOOKUP($C122,Knots,3,FALSE))</f>
        <v/>
      </c>
      <c r="N122" s="112" t="str">
        <f>IF(ISBLANK($A122),"",VLOOKUP($C122,Knots,4,FALSE))</f>
        <v/>
      </c>
      <c r="O122" s="113" t="str">
        <f>IF(ISBLANK(A122),"",M122*(F122*24))</f>
        <v/>
      </c>
      <c r="P122" s="114" t="str">
        <f>IF(ISBLANK(A122),"",O122*$I$8)</f>
        <v/>
      </c>
      <c r="T122" s="66"/>
      <c r="U122" s="70"/>
    </row>
    <row r="123" spans="1:21">
      <c r="A123" s="42" t="s">
        <v>155</v>
      </c>
      <c r="B123" s="48">
        <v>18</v>
      </c>
      <c r="C123" s="48">
        <f>IF(ISBLANK(A123),"",Plan_Speed)</f>
        <v>8</v>
      </c>
      <c r="D123" s="48">
        <v>1</v>
      </c>
      <c r="E123" s="43">
        <f>IF(ISBLANK(A123),"",C123+D123)</f>
        <v>9</v>
      </c>
      <c r="F123" s="44">
        <f>IF(ISBLANK(A123),"",(B123/E123)/24)</f>
        <v>8.3333333333333329E-2</v>
      </c>
      <c r="G123" s="46" t="str">
        <f>IF(I123="G","",IF(ISBLANK(A123),"",G122+H122+F123))</f>
        <v/>
      </c>
      <c r="H123" s="52"/>
      <c r="I123" s="72" t="s">
        <v>53</v>
      </c>
      <c r="J123" s="73">
        <f>IF(I123="G",K123,"")</f>
        <v>0.5</v>
      </c>
      <c r="K123" s="52">
        <v>0.5</v>
      </c>
      <c r="L123" s="43">
        <f>IF(ISBLANK($A123),"",VLOOKUP($C123,Knots,2,FALSE))</f>
        <v>1400</v>
      </c>
      <c r="M123" s="43">
        <f>IF(ISBLANK($A123),"",VLOOKUP($C123,Knots,3,FALSE))</f>
        <v>5</v>
      </c>
      <c r="N123" s="43">
        <f>IF(ISBLANK($A123),"",VLOOKUP($C123,Knots,4,FALSE))</f>
        <v>1.6</v>
      </c>
      <c r="O123" s="47">
        <f>IF(ISBLANK(A123),"",M123*(F123*24))</f>
        <v>10</v>
      </c>
      <c r="P123" s="65">
        <f>IF(ISBLANK(A123),"",O123*$I$8)</f>
        <v>34.5</v>
      </c>
    </row>
    <row r="124" spans="1:21">
      <c r="A124" s="15" t="s">
        <v>139</v>
      </c>
      <c r="B124" s="48">
        <v>11</v>
      </c>
      <c r="C124" s="48">
        <f>IF(ISBLANK(A124),"",Plan_Speed)</f>
        <v>8</v>
      </c>
      <c r="D124" s="48"/>
      <c r="E124" s="43">
        <f>IF(ISBLANK(A124),"",C124+D124)</f>
        <v>8</v>
      </c>
      <c r="F124" s="44">
        <f>IF(ISBLANK(A124),"",(B124/E124)/24)</f>
        <v>5.7291666666666664E-2</v>
      </c>
      <c r="G124" s="46" t="str">
        <f>IF(I123="G","",IF(ISBLANK(A124),"",G123+H123+F124))</f>
        <v/>
      </c>
      <c r="H124" s="52"/>
      <c r="I124" s="43"/>
      <c r="J124" s="46">
        <f>IF(ISBLANK(I123),"",IF(ISBLANK(A124),"",J123+H124+F124))</f>
        <v>0.55729166666666663</v>
      </c>
      <c r="K124" s="46"/>
      <c r="L124" s="43">
        <f>IF(ISBLANK($A124),"",VLOOKUP($C124,Knots,2,FALSE))</f>
        <v>1400</v>
      </c>
      <c r="M124" s="43">
        <f>IF(ISBLANK($A124),"",VLOOKUP($C124,Knots,3,FALSE))</f>
        <v>5</v>
      </c>
      <c r="N124" s="43">
        <f>IF(ISBLANK($A124),"",VLOOKUP($C124,Knots,4,FALSE))</f>
        <v>1.6</v>
      </c>
      <c r="O124" s="47">
        <f>IF(ISBLANK(A124),"",M124*(F124*24))</f>
        <v>6.875</v>
      </c>
      <c r="P124" s="65">
        <f>IF(ISBLANK(A124),"",O124*$I$8)</f>
        <v>23.71875</v>
      </c>
    </row>
    <row r="125" spans="1:21">
      <c r="A125" s="41"/>
      <c r="B125" s="48"/>
      <c r="C125" s="48" t="str">
        <f>IF(ISBLANK(A125),"",Plan_Speed)</f>
        <v/>
      </c>
      <c r="D125" s="48"/>
      <c r="E125" s="43" t="str">
        <f>IF(ISBLANK(A125),"",C125+D125)</f>
        <v/>
      </c>
      <c r="F125" s="44" t="str">
        <f>IF(ISBLANK(A125),"",(B125/E125)/24)</f>
        <v/>
      </c>
      <c r="G125" s="46" t="str">
        <f>IF(I123="G","",IF(ISBLANK(A125),"",G124+H124+F125))</f>
        <v/>
      </c>
      <c r="H125" s="52"/>
      <c r="I125" s="43"/>
      <c r="J125" s="46" t="str">
        <f>IF(ISBLANK(I123),"",IF(ISBLANK(A125),"",J124+H125+F125))</f>
        <v/>
      </c>
      <c r="K125" s="46"/>
      <c r="L125" s="43" t="str">
        <f>IF(ISBLANK($A125),"",VLOOKUP($C125,Knots,2,FALSE))</f>
        <v/>
      </c>
      <c r="M125" s="43" t="str">
        <f>IF(ISBLANK($A125),"",VLOOKUP($C125,Knots,3,FALSE))</f>
        <v/>
      </c>
      <c r="N125" s="43" t="str">
        <f>IF(ISBLANK($A125),"",VLOOKUP($C125,Knots,4,FALSE))</f>
        <v/>
      </c>
      <c r="O125" s="47" t="str">
        <f>IF(ISBLANK(A125),"",M125*(F125*24))</f>
        <v/>
      </c>
      <c r="P125" s="65" t="str">
        <f>IF(ISBLANK(A125),"",O125*$I$8)</f>
        <v/>
      </c>
    </row>
    <row r="126" spans="1:21">
      <c r="A126" s="92" t="s">
        <v>76</v>
      </c>
      <c r="B126">
        <f>SUM(B120:B125)</f>
        <v>29</v>
      </c>
      <c r="E126" s="67" t="s">
        <v>75</v>
      </c>
      <c r="F126" s="77">
        <f>SUM(F121:F125)</f>
        <v>0.140625</v>
      </c>
      <c r="H126" t="s">
        <v>156</v>
      </c>
    </row>
    <row r="128" spans="1:21" ht="15">
      <c r="A128" s="37" t="s">
        <v>123</v>
      </c>
      <c r="G128" s="14" t="s">
        <v>66</v>
      </c>
      <c r="J128" s="74" t="s">
        <v>70</v>
      </c>
    </row>
    <row r="129" spans="1:21">
      <c r="A129" s="38" t="s">
        <v>45</v>
      </c>
      <c r="B129" s="39" t="s">
        <v>46</v>
      </c>
      <c r="C129" s="39" t="s">
        <v>47</v>
      </c>
      <c r="D129" s="39" t="s">
        <v>48</v>
      </c>
      <c r="E129" s="39" t="s">
        <v>49</v>
      </c>
      <c r="F129" s="39" t="s">
        <v>51</v>
      </c>
      <c r="G129" s="39" t="s">
        <v>12</v>
      </c>
      <c r="H129" s="39" t="s">
        <v>59</v>
      </c>
      <c r="I129" s="39" t="s">
        <v>53</v>
      </c>
      <c r="J129" s="39" t="s">
        <v>52</v>
      </c>
      <c r="K129" s="39" t="s">
        <v>54</v>
      </c>
      <c r="L129" s="39" t="s">
        <v>31</v>
      </c>
      <c r="M129" s="39" t="s">
        <v>32</v>
      </c>
      <c r="N129" s="39" t="s">
        <v>55</v>
      </c>
      <c r="O129" s="39" t="s">
        <v>56</v>
      </c>
      <c r="P129" s="39" t="s">
        <v>57</v>
      </c>
    </row>
    <row r="130" spans="1:21">
      <c r="A130" s="15" t="s">
        <v>139</v>
      </c>
      <c r="B130" s="45"/>
      <c r="C130" s="45"/>
      <c r="D130" s="45"/>
      <c r="E130" s="45"/>
      <c r="F130" s="45"/>
      <c r="G130" s="51">
        <v>0.35416666666666669</v>
      </c>
      <c r="H130" s="45"/>
      <c r="I130" s="45"/>
      <c r="J130" s="46" t="str">
        <f>IF(I132="G",IF(ISBLANK(A131),J131,J131-F131),"")</f>
        <v/>
      </c>
      <c r="K130" s="45"/>
      <c r="L130" s="45"/>
      <c r="M130" s="45"/>
      <c r="N130" s="45"/>
      <c r="O130" s="45"/>
      <c r="P130" s="64">
        <f>SUM(P131:P134)</f>
        <v>51.75</v>
      </c>
      <c r="R130" s="66">
        <f>P130</f>
        <v>51.75</v>
      </c>
      <c r="S130" s="70">
        <f>SUM(O131:O134)</f>
        <v>15</v>
      </c>
    </row>
    <row r="131" spans="1:21">
      <c r="A131" s="15" t="s">
        <v>140</v>
      </c>
      <c r="B131" s="72">
        <v>24</v>
      </c>
      <c r="C131" s="72">
        <f>IF(ISBLANK(A131),"",Plan_Speed)</f>
        <v>8</v>
      </c>
      <c r="D131" s="72"/>
      <c r="E131" s="112">
        <f>IF(ISBLANK(A131),"",C131+D131)</f>
        <v>8</v>
      </c>
      <c r="F131" s="90">
        <f>IF(ISBLANK(A131),"",(B131/E131)/24)</f>
        <v>0.125</v>
      </c>
      <c r="G131" s="132">
        <f>IF(I132="G","",IF(ISBLANK(A131),"",G130+H130+F131))</f>
        <v>0.47916666666666669</v>
      </c>
      <c r="H131" s="133"/>
      <c r="I131" s="112"/>
      <c r="J131" s="132" t="str">
        <f>IF(I132="G",K132-F132-H131,"")</f>
        <v/>
      </c>
      <c r="K131" s="132"/>
      <c r="L131" s="112">
        <f>IF(ISBLANK($A131),"",VLOOKUP($C131,Knots,2,FALSE))</f>
        <v>1400</v>
      </c>
      <c r="M131" s="112">
        <f>IF(ISBLANK($A131),"",VLOOKUP($C131,Knots,3,FALSE))</f>
        <v>5</v>
      </c>
      <c r="N131" s="112">
        <f>IF(ISBLANK($A131),"",VLOOKUP($C131,Knots,4,FALSE))</f>
        <v>1.6</v>
      </c>
      <c r="O131" s="113">
        <f>IF(ISBLANK(A131),"",M131*(F131*24))</f>
        <v>15</v>
      </c>
      <c r="P131" s="114">
        <f>IF(ISBLANK(A131),"",O131*$I$8)</f>
        <v>51.75</v>
      </c>
      <c r="T131" s="66"/>
      <c r="U131" s="70"/>
    </row>
    <row r="132" spans="1:21">
      <c r="A132" s="83"/>
      <c r="B132" s="91"/>
      <c r="C132" s="72" t="str">
        <f>IF(ISBLANK(A132),"",Plan_Speed)</f>
        <v/>
      </c>
      <c r="D132" s="48"/>
      <c r="E132" s="43" t="str">
        <f>IF(ISBLANK(A132),"",C132+D132)</f>
        <v/>
      </c>
      <c r="F132" s="44" t="str">
        <f>IF(ISBLANK(A132),"",(B132/E132)/24)</f>
        <v/>
      </c>
      <c r="G132" s="46" t="str">
        <f>IF(I132="G","",IF(ISBLANK(A132),"",G131+H131+F132))</f>
        <v/>
      </c>
      <c r="H132" s="52"/>
      <c r="I132" s="72"/>
      <c r="J132" s="73" t="str">
        <f>IF(I132="G",K132,"")</f>
        <v/>
      </c>
      <c r="K132" s="52"/>
      <c r="L132" s="43" t="str">
        <f>IF(ISBLANK($A132),"",VLOOKUP($C132,Knots,2,FALSE))</f>
        <v/>
      </c>
      <c r="M132" s="43" t="str">
        <f>IF(ISBLANK($A132),"",VLOOKUP($C132,Knots,3,FALSE))</f>
        <v/>
      </c>
      <c r="N132" s="43" t="str">
        <f>IF(ISBLANK($A132),"",VLOOKUP($C132,Knots,4,FALSE))</f>
        <v/>
      </c>
      <c r="O132" s="47" t="str">
        <f>IF(ISBLANK(A132),"",M132*(F132*24))</f>
        <v/>
      </c>
      <c r="P132" s="65" t="str">
        <f>IF(ISBLANK(A132),"",O132*$I$8)</f>
        <v/>
      </c>
      <c r="T132" s="66" t="str">
        <f>P132</f>
        <v/>
      </c>
      <c r="U132" s="70" t="str">
        <f>O132</f>
        <v/>
      </c>
    </row>
    <row r="133" spans="1:21">
      <c r="A133" s="42"/>
      <c r="B133" s="48"/>
      <c r="C133" s="48" t="str">
        <f>IF(ISBLANK(A133),"",Plan_Speed)</f>
        <v/>
      </c>
      <c r="D133" s="48"/>
      <c r="E133" s="43" t="str">
        <f>IF(ISBLANK(A133),"",C133+D133)</f>
        <v/>
      </c>
      <c r="F133" s="44" t="str">
        <f>IF(ISBLANK(A133),"",(B133/E133)/24)</f>
        <v/>
      </c>
      <c r="G133" s="46" t="str">
        <f>IF(I132="G","",IF(ISBLANK(A133),"",G132+H132+F133))</f>
        <v/>
      </c>
      <c r="H133" s="52"/>
      <c r="I133" s="43"/>
      <c r="J133" s="46" t="str">
        <f>IF(ISBLANK(I132),"",IF(ISBLANK(A133),"",J132+H133+F133))</f>
        <v/>
      </c>
      <c r="K133" s="46"/>
      <c r="L133" s="43" t="str">
        <f>IF(ISBLANK($A133),"",VLOOKUP($C133,Knots,2,FALSE))</f>
        <v/>
      </c>
      <c r="M133" s="43" t="str">
        <f>IF(ISBLANK($A133),"",VLOOKUP($C133,Knots,3,FALSE))</f>
        <v/>
      </c>
      <c r="N133" s="43" t="str">
        <f>IF(ISBLANK($A133),"",VLOOKUP($C133,Knots,4,FALSE))</f>
        <v/>
      </c>
      <c r="O133" s="47" t="str">
        <f>IF(ISBLANK(A133),"",M133*(F133*24))</f>
        <v/>
      </c>
      <c r="P133" s="65" t="str">
        <f>IF(ISBLANK(A133),"",O133*$I$8)</f>
        <v/>
      </c>
    </row>
    <row r="134" spans="1:21">
      <c r="A134" s="41"/>
      <c r="B134" s="48"/>
      <c r="C134" s="48" t="str">
        <f>IF(ISBLANK(A134),"",Plan_Speed)</f>
        <v/>
      </c>
      <c r="D134" s="48"/>
      <c r="E134" s="43" t="str">
        <f>IF(ISBLANK(A134),"",C134+D134)</f>
        <v/>
      </c>
      <c r="F134" s="44" t="str">
        <f>IF(ISBLANK(A134),"",(B134/E134)/24)</f>
        <v/>
      </c>
      <c r="G134" s="46" t="str">
        <f>IF(I132="G","",IF(ISBLANK(A134),"",G133+H133+F134))</f>
        <v/>
      </c>
      <c r="H134" s="52"/>
      <c r="I134" s="43"/>
      <c r="J134" s="46" t="str">
        <f>IF(ISBLANK(I132),"",IF(ISBLANK(A134),"",J133+H134+F134))</f>
        <v/>
      </c>
      <c r="K134" s="46"/>
      <c r="L134" s="43" t="str">
        <f>IF(ISBLANK($A134),"",VLOOKUP($C134,Knots,2,FALSE))</f>
        <v/>
      </c>
      <c r="M134" s="43" t="str">
        <f>IF(ISBLANK($A134),"",VLOOKUP($C134,Knots,3,FALSE))</f>
        <v/>
      </c>
      <c r="N134" s="43" t="str">
        <f>IF(ISBLANK($A134),"",VLOOKUP($C134,Knots,4,FALSE))</f>
        <v/>
      </c>
      <c r="O134" s="47" t="str">
        <f>IF(ISBLANK(A134),"",M134*(F134*24))</f>
        <v/>
      </c>
      <c r="P134" s="65" t="str">
        <f>IF(ISBLANK(A134),"",O134*$I$8)</f>
        <v/>
      </c>
    </row>
    <row r="135" spans="1:21">
      <c r="A135" s="92" t="s">
        <v>76</v>
      </c>
      <c r="B135">
        <f>SUM(B129:B134)</f>
        <v>24</v>
      </c>
      <c r="E135" s="67" t="s">
        <v>75</v>
      </c>
      <c r="F135" s="77">
        <f>SUM(F130:F134)</f>
        <v>0.125</v>
      </c>
    </row>
    <row r="137" spans="1:21" ht="15">
      <c r="A137" s="37" t="s">
        <v>124</v>
      </c>
      <c r="G137" s="14" t="s">
        <v>66</v>
      </c>
      <c r="J137" s="74" t="s">
        <v>70</v>
      </c>
    </row>
    <row r="138" spans="1:21">
      <c r="A138" s="38" t="s">
        <v>45</v>
      </c>
      <c r="B138" s="39" t="s">
        <v>46</v>
      </c>
      <c r="C138" s="39" t="s">
        <v>47</v>
      </c>
      <c r="D138" s="39" t="s">
        <v>48</v>
      </c>
      <c r="E138" s="39" t="s">
        <v>49</v>
      </c>
      <c r="F138" s="39" t="s">
        <v>51</v>
      </c>
      <c r="G138" s="39" t="s">
        <v>12</v>
      </c>
      <c r="H138" s="39" t="s">
        <v>59</v>
      </c>
      <c r="I138" s="39" t="s">
        <v>53</v>
      </c>
      <c r="J138" s="39" t="s">
        <v>52</v>
      </c>
      <c r="K138" s="39" t="s">
        <v>54</v>
      </c>
      <c r="L138" s="39" t="s">
        <v>31</v>
      </c>
      <c r="M138" s="39" t="s">
        <v>32</v>
      </c>
      <c r="N138" s="39" t="s">
        <v>55</v>
      </c>
      <c r="O138" s="39" t="s">
        <v>56</v>
      </c>
      <c r="P138" s="39" t="s">
        <v>57</v>
      </c>
    </row>
    <row r="139" spans="1:21">
      <c r="A139" s="15" t="s">
        <v>140</v>
      </c>
      <c r="B139" s="45"/>
      <c r="C139" s="45"/>
      <c r="D139" s="45"/>
      <c r="E139" s="45"/>
      <c r="F139" s="45"/>
      <c r="G139" s="51">
        <v>0.375</v>
      </c>
      <c r="H139" s="45"/>
      <c r="I139" s="45"/>
      <c r="J139" s="46" t="str">
        <f>IF(I141="G",IF(ISBLANK(A140),J140,J140-F140),"")</f>
        <v/>
      </c>
      <c r="K139" s="45"/>
      <c r="L139" s="45"/>
      <c r="M139" s="45"/>
      <c r="N139" s="45"/>
      <c r="O139" s="45"/>
      <c r="P139" s="64">
        <f>SUM(P140:P143)</f>
        <v>34.5</v>
      </c>
      <c r="R139" s="66">
        <f>P139</f>
        <v>34.5</v>
      </c>
      <c r="S139" s="70">
        <f>SUM(O140:O143)</f>
        <v>10</v>
      </c>
    </row>
    <row r="140" spans="1:21">
      <c r="A140" s="15" t="s">
        <v>141</v>
      </c>
      <c r="B140" s="48">
        <v>16</v>
      </c>
      <c r="C140" s="48">
        <f>IF(ISBLANK(A140),"",Plan_Speed)</f>
        <v>8</v>
      </c>
      <c r="D140" s="48"/>
      <c r="E140" s="43">
        <f>IF(ISBLANK(A140),"",C140+D140)</f>
        <v>8</v>
      </c>
      <c r="F140" s="44">
        <f>IF(ISBLANK(A140),"",(B140/E140)/24)</f>
        <v>8.3333333333333329E-2</v>
      </c>
      <c r="G140" s="46">
        <f>IF(I141="G","",IF(ISBLANK(A140),"",G139+H139+F140))</f>
        <v>0.45833333333333331</v>
      </c>
      <c r="H140" s="52"/>
      <c r="I140" s="43"/>
      <c r="J140" s="46" t="str">
        <f>IF(I141="G",K141-F141-H140,"")</f>
        <v/>
      </c>
      <c r="K140" s="46"/>
      <c r="L140" s="43">
        <f>IF(ISBLANK($A140),"",VLOOKUP($C140,Knots,2,FALSE))</f>
        <v>1400</v>
      </c>
      <c r="M140" s="43">
        <f>IF(ISBLANK($A140),"",VLOOKUP($C140,Knots,3,FALSE))</f>
        <v>5</v>
      </c>
      <c r="N140" s="43">
        <f>IF(ISBLANK($A140),"",VLOOKUP($C140,Knots,4,FALSE))</f>
        <v>1.6</v>
      </c>
      <c r="O140" s="47">
        <f>IF(ISBLANK(A140),"",M140*(F140*24))</f>
        <v>10</v>
      </c>
      <c r="P140" s="65">
        <f>IF(ISBLANK(A140),"",O140*$I$8)</f>
        <v>34.5</v>
      </c>
    </row>
    <row r="141" spans="1:21">
      <c r="A141" s="42"/>
      <c r="B141" s="48"/>
      <c r="C141" s="48" t="str">
        <f>IF(ISBLANK(A141),"",Plan_Speed)</f>
        <v/>
      </c>
      <c r="D141" s="48"/>
      <c r="E141" s="43" t="str">
        <f>IF(ISBLANK(A141),"",C141+D141)</f>
        <v/>
      </c>
      <c r="F141" s="44" t="str">
        <f>IF(ISBLANK(A141),"",(B141/E141)/24)</f>
        <v/>
      </c>
      <c r="G141" s="46" t="str">
        <f>IF(I141="G","",IF(ISBLANK(A141),"",G140+H140+F141))</f>
        <v/>
      </c>
      <c r="H141" s="52"/>
      <c r="I141" s="72"/>
      <c r="J141" s="73" t="str">
        <f>IF(I141="G",K141,"")</f>
        <v/>
      </c>
      <c r="K141" s="52"/>
      <c r="L141" s="43" t="str">
        <f>IF(ISBLANK($A141),"",VLOOKUP($C141,Knots,2,FALSE))</f>
        <v/>
      </c>
      <c r="M141" s="43" t="str">
        <f>IF(ISBLANK($A141),"",VLOOKUP($C141,Knots,3,FALSE))</f>
        <v/>
      </c>
      <c r="N141" s="43" t="str">
        <f>IF(ISBLANK($A141),"",VLOOKUP($C141,Knots,4,FALSE))</f>
        <v/>
      </c>
      <c r="O141" s="47" t="str">
        <f>IF(ISBLANK(A141),"",M141*(F141*24))</f>
        <v/>
      </c>
      <c r="P141" s="65" t="str">
        <f>IF(ISBLANK(A141),"",O141*$I$8)</f>
        <v/>
      </c>
    </row>
    <row r="142" spans="1:21">
      <c r="A142" s="42"/>
      <c r="B142" s="48"/>
      <c r="C142" s="48" t="str">
        <f>IF(ISBLANK(A142),"",Plan_Speed)</f>
        <v/>
      </c>
      <c r="D142" s="48"/>
      <c r="E142" s="43" t="str">
        <f>IF(ISBLANK(A142),"",C142+D142)</f>
        <v/>
      </c>
      <c r="F142" s="44" t="str">
        <f>IF(ISBLANK(A142),"",(B142/E142)/24)</f>
        <v/>
      </c>
      <c r="G142" s="46" t="str">
        <f>IF(I141="G","",IF(ISBLANK(A142),"",G141+H141+F142))</f>
        <v/>
      </c>
      <c r="H142" s="52"/>
      <c r="I142" s="43"/>
      <c r="J142" s="46" t="str">
        <f>IF(ISBLANK(I141),"",IF(ISBLANK(A142),"",J141+H142+F142))</f>
        <v/>
      </c>
      <c r="K142" s="46"/>
      <c r="L142" s="43" t="str">
        <f>IF(ISBLANK($A142),"",VLOOKUP($C142,Knots,2,FALSE))</f>
        <v/>
      </c>
      <c r="M142" s="43" t="str">
        <f>IF(ISBLANK($A142),"",VLOOKUP($C142,Knots,3,FALSE))</f>
        <v/>
      </c>
      <c r="N142" s="43" t="str">
        <f>IF(ISBLANK($A142),"",VLOOKUP($C142,Knots,4,FALSE))</f>
        <v/>
      </c>
      <c r="O142" s="47" t="str">
        <f>IF(ISBLANK(A142),"",M142*(F142*24))</f>
        <v/>
      </c>
      <c r="P142" s="65" t="str">
        <f>IF(ISBLANK(A142),"",O142*$I$8)</f>
        <v/>
      </c>
    </row>
    <row r="143" spans="1:21">
      <c r="A143" s="41"/>
      <c r="B143" s="48"/>
      <c r="C143" s="48" t="str">
        <f>IF(ISBLANK(A143),"",Plan_Speed)</f>
        <v/>
      </c>
      <c r="D143" s="48"/>
      <c r="E143" s="43" t="str">
        <f>IF(ISBLANK(A143),"",C143+D143)</f>
        <v/>
      </c>
      <c r="F143" s="44" t="str">
        <f>IF(ISBLANK(A143),"",(B143/E143)/24)</f>
        <v/>
      </c>
      <c r="G143" s="46" t="str">
        <f>IF(I141="G","",IF(ISBLANK(A143),"",G142+H142+F143))</f>
        <v/>
      </c>
      <c r="H143" s="52"/>
      <c r="I143" s="43"/>
      <c r="J143" s="46" t="str">
        <f>IF(ISBLANK(I141),"",IF(ISBLANK(A143),"",J142+H143+F143))</f>
        <v/>
      </c>
      <c r="K143" s="46"/>
      <c r="L143" s="43" t="str">
        <f>IF(ISBLANK($A143),"",VLOOKUP($C143,Knots,2,FALSE))</f>
        <v/>
      </c>
      <c r="M143" s="43" t="str">
        <f>IF(ISBLANK($A143),"",VLOOKUP($C143,Knots,3,FALSE))</f>
        <v/>
      </c>
      <c r="N143" s="43" t="str">
        <f>IF(ISBLANK($A143),"",VLOOKUP($C143,Knots,4,FALSE))</f>
        <v/>
      </c>
      <c r="O143" s="47" t="str">
        <f>IF(ISBLANK(A143),"",M143*(F143*24))</f>
        <v/>
      </c>
      <c r="P143" s="65" t="str">
        <f>IF(ISBLANK(A143),"",O143*$I$8)</f>
        <v/>
      </c>
    </row>
    <row r="144" spans="1:21">
      <c r="A144" s="92" t="s">
        <v>76</v>
      </c>
      <c r="B144">
        <f>SUM(B138:B143)</f>
        <v>16</v>
      </c>
      <c r="E144" s="67" t="s">
        <v>75</v>
      </c>
      <c r="F144" s="77">
        <f>SUM(F139:F143)</f>
        <v>8.3333333333333329E-2</v>
      </c>
    </row>
    <row r="146" spans="1:21" ht="15">
      <c r="A146" s="37" t="s">
        <v>125</v>
      </c>
      <c r="G146" s="14" t="s">
        <v>66</v>
      </c>
      <c r="J146" s="74" t="s">
        <v>70</v>
      </c>
    </row>
    <row r="147" spans="1:21">
      <c r="A147" s="38" t="s">
        <v>45</v>
      </c>
      <c r="B147" s="39" t="s">
        <v>46</v>
      </c>
      <c r="C147" s="39" t="s">
        <v>47</v>
      </c>
      <c r="D147" s="39" t="s">
        <v>48</v>
      </c>
      <c r="E147" s="39" t="s">
        <v>49</v>
      </c>
      <c r="F147" s="39" t="s">
        <v>51</v>
      </c>
      <c r="G147" s="39" t="s">
        <v>12</v>
      </c>
      <c r="H147" s="39" t="s">
        <v>59</v>
      </c>
      <c r="I147" s="39" t="s">
        <v>53</v>
      </c>
      <c r="J147" s="39" t="s">
        <v>52</v>
      </c>
      <c r="K147" s="39" t="s">
        <v>54</v>
      </c>
      <c r="L147" s="39" t="s">
        <v>31</v>
      </c>
      <c r="M147" s="39" t="s">
        <v>32</v>
      </c>
      <c r="N147" s="39" t="s">
        <v>55</v>
      </c>
      <c r="O147" s="39" t="s">
        <v>56</v>
      </c>
      <c r="P147" s="39" t="s">
        <v>57</v>
      </c>
    </row>
    <row r="148" spans="1:21">
      <c r="A148" s="15" t="s">
        <v>141</v>
      </c>
      <c r="B148" s="45"/>
      <c r="C148" s="45"/>
      <c r="D148" s="45"/>
      <c r="E148" s="45"/>
      <c r="F148" s="45"/>
      <c r="G148" s="51">
        <v>0.39583333333333331</v>
      </c>
      <c r="H148" s="45"/>
      <c r="I148" s="45"/>
      <c r="J148" s="46" t="str">
        <f>IF(I150="G",IF(ISBLANK(A149),J149,J149-F149),"")</f>
        <v/>
      </c>
      <c r="K148" s="45"/>
      <c r="L148" s="45"/>
      <c r="M148" s="45"/>
      <c r="N148" s="45"/>
      <c r="O148" s="45"/>
      <c r="P148" s="64">
        <f>SUM(P149:P152)</f>
        <v>75.46875</v>
      </c>
      <c r="R148" s="66">
        <f>P148</f>
        <v>75.46875</v>
      </c>
      <c r="S148" s="70">
        <f>SUM(O149:O152)</f>
        <v>21.875</v>
      </c>
    </row>
    <row r="149" spans="1:21">
      <c r="A149" s="15" t="s">
        <v>139</v>
      </c>
      <c r="B149" s="48">
        <v>35</v>
      </c>
      <c r="C149" s="48">
        <f>IF(ISBLANK(A149),"",Plan_Speed)</f>
        <v>8</v>
      </c>
      <c r="D149" s="48"/>
      <c r="E149" s="43">
        <f>IF(ISBLANK(A149),"",C149+D149)</f>
        <v>8</v>
      </c>
      <c r="F149" s="44">
        <f>IF(ISBLANK(A149),"",(B149/E149)/24)</f>
        <v>0.18229166666666666</v>
      </c>
      <c r="G149" s="46">
        <f>IF(I150="G","",IF(ISBLANK(A149),"",G148+H148+F149))</f>
        <v>0.578125</v>
      </c>
      <c r="H149" s="52"/>
      <c r="I149" s="43"/>
      <c r="J149" s="46" t="str">
        <f>IF(I150="G",K150-F150-H149,"")</f>
        <v/>
      </c>
      <c r="K149" s="46"/>
      <c r="L149" s="112">
        <f>IF(ISBLANK($A149),"",VLOOKUP($C149,Knots,2,FALSE))</f>
        <v>1400</v>
      </c>
      <c r="M149" s="112">
        <f>IF(ISBLANK($A149),"",VLOOKUP($C149,Knots,3,FALSE))</f>
        <v>5</v>
      </c>
      <c r="N149" s="112">
        <f>IF(ISBLANK($A149),"",VLOOKUP($C149,Knots,4,FALSE))</f>
        <v>1.6</v>
      </c>
      <c r="O149" s="113">
        <f>IF(ISBLANK(A149),"",M149*(F149*24))</f>
        <v>21.875</v>
      </c>
      <c r="P149" s="114">
        <f>IF(ISBLANK(A149),"",O149*$I$8)</f>
        <v>75.46875</v>
      </c>
      <c r="T149" s="66"/>
      <c r="U149" s="70"/>
    </row>
    <row r="150" spans="1:21">
      <c r="A150" s="83"/>
      <c r="B150" s="91"/>
      <c r="C150" s="48" t="str">
        <f>IF(ISBLANK(A150),"",Plan_Speed)</f>
        <v/>
      </c>
      <c r="D150" s="48"/>
      <c r="E150" s="43" t="str">
        <f>IF(ISBLANK(A150),"",C150+D150)</f>
        <v/>
      </c>
      <c r="F150" s="44" t="str">
        <f>IF(ISBLANK(A150),"",(B150/E150)/24)</f>
        <v/>
      </c>
      <c r="G150" s="46" t="str">
        <f>IF(I150="G","",IF(ISBLANK(A150),"",G149+H149+F150))</f>
        <v/>
      </c>
      <c r="H150" s="52"/>
      <c r="I150" s="72"/>
      <c r="J150" s="73" t="str">
        <f>IF(I150="G",K150,"")</f>
        <v/>
      </c>
      <c r="K150" s="52"/>
      <c r="L150" s="84" t="str">
        <f>IF(ISBLANK($A150),"",VLOOKUP($C150,Knots,2,FALSE))</f>
        <v/>
      </c>
      <c r="M150" s="84" t="str">
        <f>IF(ISBLANK($A150),"",VLOOKUP($C150,Knots,3,FALSE))</f>
        <v/>
      </c>
      <c r="N150" s="84" t="str">
        <f>IF(ISBLANK($A150),"",VLOOKUP($C150,Knots,4,FALSE))</f>
        <v/>
      </c>
      <c r="O150" s="85" t="str">
        <f>IF(ISBLANK(A150),"",M150*(F150*24))</f>
        <v/>
      </c>
      <c r="P150" s="86" t="str">
        <f>IF(ISBLANK(A150),"",O150*$I$8)</f>
        <v/>
      </c>
    </row>
    <row r="151" spans="1:21">
      <c r="A151" s="42"/>
      <c r="B151" s="48"/>
      <c r="C151" s="48" t="str">
        <f>IF(ISBLANK(A151),"",Plan_Speed)</f>
        <v/>
      </c>
      <c r="D151" s="48"/>
      <c r="E151" s="43" t="str">
        <f>IF(ISBLANK(A151),"",C151+D151)</f>
        <v/>
      </c>
      <c r="F151" s="44" t="str">
        <f>IF(ISBLANK(A151),"",(B151/E151)/24)</f>
        <v/>
      </c>
      <c r="G151" s="46" t="str">
        <f>IF(I150="G","",IF(ISBLANK(A151),"",G150+H150+F151))</f>
        <v/>
      </c>
      <c r="H151" s="52"/>
      <c r="I151" s="43"/>
      <c r="J151" s="46" t="str">
        <f>IF(ISBLANK(I150),"",IF(ISBLANK(A151),"",J150+H151+F151))</f>
        <v/>
      </c>
      <c r="K151" s="46"/>
      <c r="L151" s="43" t="str">
        <f>IF(ISBLANK($A151),"",VLOOKUP($C151,Knots,2,FALSE))</f>
        <v/>
      </c>
      <c r="M151" s="43" t="str">
        <f>IF(ISBLANK($A151),"",VLOOKUP($C151,Knots,3,FALSE))</f>
        <v/>
      </c>
      <c r="N151" s="43" t="str">
        <f>IF(ISBLANK($A151),"",VLOOKUP($C151,Knots,4,FALSE))</f>
        <v/>
      </c>
      <c r="O151" s="47" t="str">
        <f>IF(ISBLANK(A151),"",M151*(F151*24))</f>
        <v/>
      </c>
      <c r="P151" s="65" t="str">
        <f>IF(ISBLANK(A151),"",O151*$I$8)</f>
        <v/>
      </c>
    </row>
    <row r="152" spans="1:21">
      <c r="A152" s="42"/>
      <c r="B152" s="48"/>
      <c r="C152" s="48" t="str">
        <f>IF(ISBLANK(A152),"",Plan_Speed)</f>
        <v/>
      </c>
      <c r="D152" s="48"/>
      <c r="E152" s="43" t="str">
        <f>IF(ISBLANK(A152),"",C152+D152)</f>
        <v/>
      </c>
      <c r="F152" s="44" t="str">
        <f>IF(ISBLANK(A152),"",(B152/E152)/24)</f>
        <v/>
      </c>
      <c r="G152" s="46" t="str">
        <f>IF(I150="G","",IF(ISBLANK(A152),"",G151+H151+F152))</f>
        <v/>
      </c>
      <c r="H152" s="52"/>
      <c r="I152" s="43"/>
      <c r="J152" s="46" t="str">
        <f>IF(ISBLANK(I150),"",IF(ISBLANK(A152),"",J151+H152+F152))</f>
        <v/>
      </c>
      <c r="K152" s="46"/>
      <c r="L152" s="43" t="str">
        <f>IF(ISBLANK($A152),"",VLOOKUP($C152,Knots,2,FALSE))</f>
        <v/>
      </c>
      <c r="M152" s="43" t="str">
        <f>IF(ISBLANK($A152),"",VLOOKUP($C152,Knots,3,FALSE))</f>
        <v/>
      </c>
      <c r="N152" s="43" t="str">
        <f>IF(ISBLANK($A152),"",VLOOKUP($C152,Knots,4,FALSE))</f>
        <v/>
      </c>
      <c r="O152" s="47" t="str">
        <f>IF(ISBLANK(A152),"",M152*(F152*24))</f>
        <v/>
      </c>
      <c r="P152" s="65" t="str">
        <f>IF(ISBLANK(A152),"",O152*$I$8)</f>
        <v/>
      </c>
    </row>
    <row r="153" spans="1:21">
      <c r="A153" s="92" t="s">
        <v>76</v>
      </c>
      <c r="B153">
        <f>SUM(B147:B152)</f>
        <v>35</v>
      </c>
      <c r="E153" s="67" t="s">
        <v>75</v>
      </c>
      <c r="F153" s="77">
        <f>SUM(F148:F152)</f>
        <v>0.18229166666666666</v>
      </c>
    </row>
    <row r="155" spans="1:21" ht="15">
      <c r="A155" s="37" t="s">
        <v>126</v>
      </c>
      <c r="G155" s="14" t="s">
        <v>66</v>
      </c>
      <c r="J155" s="74" t="s">
        <v>70</v>
      </c>
    </row>
    <row r="156" spans="1:21">
      <c r="A156" s="38" t="s">
        <v>45</v>
      </c>
      <c r="B156" s="39" t="s">
        <v>46</v>
      </c>
      <c r="C156" s="39" t="s">
        <v>47</v>
      </c>
      <c r="D156" s="39" t="s">
        <v>48</v>
      </c>
      <c r="E156" s="39" t="s">
        <v>49</v>
      </c>
      <c r="F156" s="39" t="s">
        <v>51</v>
      </c>
      <c r="G156" s="39" t="s">
        <v>12</v>
      </c>
      <c r="H156" s="39" t="s">
        <v>59</v>
      </c>
      <c r="I156" s="39" t="s">
        <v>53</v>
      </c>
      <c r="J156" s="39" t="s">
        <v>52</v>
      </c>
      <c r="K156" s="39" t="s">
        <v>54</v>
      </c>
      <c r="L156" s="39" t="s">
        <v>31</v>
      </c>
      <c r="M156" s="39" t="s">
        <v>32</v>
      </c>
      <c r="N156" s="39" t="s">
        <v>55</v>
      </c>
      <c r="O156" s="39" t="s">
        <v>56</v>
      </c>
      <c r="P156" s="39" t="s">
        <v>57</v>
      </c>
    </row>
    <row r="157" spans="1:21">
      <c r="A157" s="15" t="s">
        <v>139</v>
      </c>
      <c r="B157" s="45"/>
      <c r="C157" s="45"/>
      <c r="D157" s="45"/>
      <c r="E157" s="45"/>
      <c r="F157" s="45"/>
      <c r="G157" s="51">
        <v>0.375</v>
      </c>
      <c r="H157" s="45"/>
      <c r="I157" s="45"/>
      <c r="J157" s="46" t="str">
        <f>IF(I159="G",IF(ISBLANK(A158),J158,J158-F158),"")</f>
        <v/>
      </c>
      <c r="K157" s="45"/>
      <c r="L157" s="45"/>
      <c r="M157" s="45"/>
      <c r="N157" s="45"/>
      <c r="O157" s="45"/>
      <c r="P157" s="64">
        <f>SUM(P158:P161)</f>
        <v>43.125</v>
      </c>
      <c r="R157" s="66">
        <f>P157</f>
        <v>43.125</v>
      </c>
      <c r="S157" s="70">
        <f>SUM(O158:O161)</f>
        <v>12.5</v>
      </c>
    </row>
    <row r="158" spans="1:21">
      <c r="A158" s="15" t="s">
        <v>142</v>
      </c>
      <c r="B158" s="72">
        <v>20</v>
      </c>
      <c r="C158" s="48">
        <f>IF(ISBLANK(A158),"",Plan_Speed)</f>
        <v>8</v>
      </c>
      <c r="D158" s="134"/>
      <c r="E158" s="43">
        <f>IF(ISBLANK(A158),"",C158+D158)</f>
        <v>8</v>
      </c>
      <c r="F158" s="44">
        <f>IF(ISBLANK(A158),"",(B158/E158)/24)</f>
        <v>0.10416666666666667</v>
      </c>
      <c r="G158" s="46">
        <f>IF(I159="G","",IF(ISBLANK(A158),"",G157+H157+F158))</f>
        <v>0.47916666666666669</v>
      </c>
      <c r="H158" s="52"/>
      <c r="I158" s="43"/>
      <c r="J158" s="46" t="str">
        <f>IF(I159="G",K159-F159-H158,"")</f>
        <v/>
      </c>
      <c r="K158" s="46"/>
      <c r="L158" s="43">
        <f>IF(ISBLANK($A158),"",VLOOKUP($C158,Knots,2,FALSE))</f>
        <v>1400</v>
      </c>
      <c r="M158" s="43">
        <f>IF(ISBLANK($A158),"",VLOOKUP($C158,Knots,3,FALSE))</f>
        <v>5</v>
      </c>
      <c r="N158" s="43">
        <f>IF(ISBLANK($A158),"",VLOOKUP($C158,Knots,4,FALSE))</f>
        <v>1.6</v>
      </c>
      <c r="O158" s="47">
        <f>IF(ISBLANK(A158),"",M158*(F158*24))</f>
        <v>12.5</v>
      </c>
      <c r="P158" s="65">
        <f>IF(ISBLANK(A158),"",O158*$I$8)</f>
        <v>43.125</v>
      </c>
      <c r="T158" s="66"/>
      <c r="U158" s="70"/>
    </row>
    <row r="159" spans="1:21">
      <c r="A159" s="42"/>
      <c r="B159" s="48"/>
      <c r="C159" s="48" t="str">
        <f>IF(ISBLANK(A159),"",Plan_Speed)</f>
        <v/>
      </c>
      <c r="D159" s="48"/>
      <c r="E159" s="43" t="str">
        <f>IF(ISBLANK(A159),"",C159+D159)</f>
        <v/>
      </c>
      <c r="F159" s="44" t="str">
        <f>IF(ISBLANK(A159),"",(B159/E159)/24)</f>
        <v/>
      </c>
      <c r="G159" s="46" t="str">
        <f>IF(I159="G","",IF(ISBLANK(A159),"",G158+H158+F159))</f>
        <v/>
      </c>
      <c r="H159" s="52"/>
      <c r="I159" s="72"/>
      <c r="J159" s="73" t="str">
        <f>IF(I159="G",K159,"")</f>
        <v/>
      </c>
      <c r="K159" s="52"/>
      <c r="L159" s="43" t="str">
        <f>IF(ISBLANK($A159),"",VLOOKUP($C159,Knots,2,FALSE))</f>
        <v/>
      </c>
      <c r="M159" s="43" t="str">
        <f>IF(ISBLANK($A159),"",VLOOKUP($C159,Knots,3,FALSE))</f>
        <v/>
      </c>
      <c r="N159" s="43" t="str">
        <f>IF(ISBLANK($A159),"",VLOOKUP($C159,Knots,4,FALSE))</f>
        <v/>
      </c>
      <c r="O159" s="47" t="str">
        <f>IF(ISBLANK(A159),"",M159*(F159*24))</f>
        <v/>
      </c>
      <c r="P159" s="65" t="str">
        <f>IF(ISBLANK(A159),"",O159*$I$8)</f>
        <v/>
      </c>
    </row>
    <row r="160" spans="1:21">
      <c r="A160" s="42"/>
      <c r="B160" s="48"/>
      <c r="C160" s="48" t="str">
        <f>IF(ISBLANK(A160),"",Plan_Speed)</f>
        <v/>
      </c>
      <c r="D160" s="48"/>
      <c r="E160" s="43" t="str">
        <f>IF(ISBLANK(A160),"",C160+D160)</f>
        <v/>
      </c>
      <c r="F160" s="44" t="str">
        <f>IF(ISBLANK(A160),"",(B160/E160)/24)</f>
        <v/>
      </c>
      <c r="G160" s="46" t="str">
        <f>IF(I159="G","",IF(ISBLANK(A160),"",G159+H159+F160))</f>
        <v/>
      </c>
      <c r="H160" s="52"/>
      <c r="I160" s="43"/>
      <c r="J160" s="46" t="str">
        <f>IF(ISBLANK(I159),"",IF(ISBLANK(A160),"",J159+H160+F160))</f>
        <v/>
      </c>
      <c r="K160" s="46"/>
      <c r="L160" s="43" t="str">
        <f>IF(ISBLANK($A160),"",VLOOKUP($C160,Knots,2,FALSE))</f>
        <v/>
      </c>
      <c r="M160" s="43" t="str">
        <f>IF(ISBLANK($A160),"",VLOOKUP($C160,Knots,3,FALSE))</f>
        <v/>
      </c>
      <c r="N160" s="43" t="str">
        <f>IF(ISBLANK($A160),"",VLOOKUP($C160,Knots,4,FALSE))</f>
        <v/>
      </c>
      <c r="O160" s="47" t="str">
        <f>IF(ISBLANK(A160),"",M160*(F160*24))</f>
        <v/>
      </c>
      <c r="P160" s="65" t="str">
        <f>IF(ISBLANK(A160),"",O160*$I$8)</f>
        <v/>
      </c>
    </row>
    <row r="161" spans="1:21">
      <c r="A161" s="41"/>
      <c r="B161" s="48"/>
      <c r="C161" s="48" t="str">
        <f>IF(ISBLANK(A161),"",Plan_Speed)</f>
        <v/>
      </c>
      <c r="D161" s="48"/>
      <c r="E161" s="43" t="str">
        <f>IF(ISBLANK(A161),"",C161+D161)</f>
        <v/>
      </c>
      <c r="F161" s="44" t="str">
        <f>IF(ISBLANK(A161),"",(B161/E161)/24)</f>
        <v/>
      </c>
      <c r="G161" s="46" t="str">
        <f>IF(I159="G","",IF(ISBLANK(A161),"",G160+H160+F161))</f>
        <v/>
      </c>
      <c r="H161" s="52"/>
      <c r="I161" s="43"/>
      <c r="J161" s="46" t="str">
        <f>IF(ISBLANK(I159),"",IF(ISBLANK(A161),"",J160+H161+F161))</f>
        <v/>
      </c>
      <c r="K161" s="46"/>
      <c r="L161" s="43" t="str">
        <f>IF(ISBLANK($A161),"",VLOOKUP($C161,Knots,2,FALSE))</f>
        <v/>
      </c>
      <c r="M161" s="43" t="str">
        <f>IF(ISBLANK($A161),"",VLOOKUP($C161,Knots,3,FALSE))</f>
        <v/>
      </c>
      <c r="N161" s="43" t="str">
        <f>IF(ISBLANK($A161),"",VLOOKUP($C161,Knots,4,FALSE))</f>
        <v/>
      </c>
      <c r="O161" s="47" t="str">
        <f>IF(ISBLANK(A161),"",M161*(F161*24))</f>
        <v/>
      </c>
      <c r="P161" s="65" t="str">
        <f>IF(ISBLANK(A161),"",O161*$I$8)</f>
        <v/>
      </c>
    </row>
    <row r="162" spans="1:21">
      <c r="A162" s="92" t="s">
        <v>76</v>
      </c>
      <c r="B162">
        <f>SUM(B156:B161)</f>
        <v>20</v>
      </c>
      <c r="E162" s="67" t="s">
        <v>75</v>
      </c>
      <c r="F162" s="77">
        <f>SUM(F157:F161)</f>
        <v>0.10416666666666667</v>
      </c>
    </row>
    <row r="163" spans="1:21">
      <c r="A163" s="11"/>
    </row>
    <row r="164" spans="1:21" ht="15">
      <c r="A164" s="37" t="s">
        <v>127</v>
      </c>
      <c r="G164" s="14" t="s">
        <v>66</v>
      </c>
      <c r="J164" s="74" t="s">
        <v>70</v>
      </c>
    </row>
    <row r="165" spans="1:21">
      <c r="A165" s="38" t="s">
        <v>45</v>
      </c>
      <c r="B165" s="39" t="s">
        <v>46</v>
      </c>
      <c r="C165" s="39" t="s">
        <v>47</v>
      </c>
      <c r="D165" s="39" t="s">
        <v>48</v>
      </c>
      <c r="E165" s="39" t="s">
        <v>49</v>
      </c>
      <c r="F165" s="39" t="s">
        <v>51</v>
      </c>
      <c r="G165" s="39" t="s">
        <v>12</v>
      </c>
      <c r="H165" s="39" t="s">
        <v>59</v>
      </c>
      <c r="I165" s="39" t="s">
        <v>53</v>
      </c>
      <c r="J165" s="39" t="s">
        <v>52</v>
      </c>
      <c r="K165" s="39" t="s">
        <v>54</v>
      </c>
      <c r="L165" s="39" t="s">
        <v>31</v>
      </c>
      <c r="M165" s="39" t="s">
        <v>32</v>
      </c>
      <c r="N165" s="39" t="s">
        <v>55</v>
      </c>
      <c r="O165" s="39" t="s">
        <v>56</v>
      </c>
      <c r="P165" s="39" t="s">
        <v>57</v>
      </c>
    </row>
    <row r="166" spans="1:21">
      <c r="A166" s="15" t="s">
        <v>142</v>
      </c>
      <c r="B166" s="45"/>
      <c r="C166" s="45"/>
      <c r="D166" s="45"/>
      <c r="E166" s="45"/>
      <c r="F166" s="45"/>
      <c r="G166" s="51">
        <v>0.375</v>
      </c>
      <c r="H166" s="45"/>
      <c r="I166" s="45"/>
      <c r="J166" s="46" t="str">
        <f>IF(I168="G",IF(ISBLANK(A167),J167,J167-F167),"")</f>
        <v/>
      </c>
      <c r="K166" s="45"/>
      <c r="L166" s="45"/>
      <c r="M166" s="45"/>
      <c r="N166" s="45"/>
      <c r="O166" s="45"/>
      <c r="P166" s="64">
        <f>SUM(P167:P170)</f>
        <v>23.71875</v>
      </c>
      <c r="R166" s="66">
        <f>P166</f>
        <v>23.71875</v>
      </c>
      <c r="S166" s="70">
        <f>SUM(O167:O170)</f>
        <v>6.875</v>
      </c>
    </row>
    <row r="167" spans="1:21">
      <c r="A167" s="15" t="s">
        <v>90</v>
      </c>
      <c r="B167" s="48">
        <v>11</v>
      </c>
      <c r="C167" s="48">
        <f>IF(ISBLANK(A167),"",Plan_Speed)</f>
        <v>8</v>
      </c>
      <c r="D167" s="48"/>
      <c r="E167" s="43">
        <f>IF(ISBLANK(A167),"",C167+D167)</f>
        <v>8</v>
      </c>
      <c r="F167" s="44">
        <f>IF(ISBLANK(A167),"",(B167/E167)/24)</f>
        <v>5.7291666666666664E-2</v>
      </c>
      <c r="G167" s="46">
        <f>IF(I168="G","",IF(ISBLANK(A167),"",G166+H166+F167))</f>
        <v>0.43229166666666669</v>
      </c>
      <c r="H167" s="52"/>
      <c r="I167" s="43"/>
      <c r="J167" s="46" t="str">
        <f>IF(I168="G",K168-F168-H167,"")</f>
        <v/>
      </c>
      <c r="K167" s="46"/>
      <c r="L167" s="112">
        <f>IF(ISBLANK($A167),"",VLOOKUP($C167,Knots,2,FALSE))</f>
        <v>1400</v>
      </c>
      <c r="M167" s="112">
        <f>IF(ISBLANK($A167),"",VLOOKUP($C167,Knots,3,FALSE))</f>
        <v>5</v>
      </c>
      <c r="N167" s="112">
        <f>IF(ISBLANK($A167),"",VLOOKUP($C167,Knots,4,FALSE))</f>
        <v>1.6</v>
      </c>
      <c r="O167" s="113">
        <f>IF(ISBLANK(A167),"",M167*(F167*24))</f>
        <v>6.875</v>
      </c>
      <c r="P167" s="114">
        <f>IF(ISBLANK(A167),"",O167*$I$8)</f>
        <v>23.71875</v>
      </c>
      <c r="T167" s="66"/>
      <c r="U167" s="70"/>
    </row>
    <row r="168" spans="1:21">
      <c r="A168" s="83"/>
      <c r="B168" s="91"/>
      <c r="C168" s="48" t="str">
        <f>IF(ISBLANK(A168),"",Plan_Speed)</f>
        <v/>
      </c>
      <c r="D168" s="48"/>
      <c r="E168" s="43" t="str">
        <f>IF(ISBLANK(A168),"",C168+D168)</f>
        <v/>
      </c>
      <c r="F168" s="44" t="str">
        <f>IF(ISBLANK(A168),"",(B168/E168)/24)</f>
        <v/>
      </c>
      <c r="G168" s="46" t="str">
        <f>IF(I168="G","",IF(ISBLANK(A168),"",G167+H167+F168))</f>
        <v/>
      </c>
      <c r="H168" s="52"/>
      <c r="I168" s="72"/>
      <c r="J168" s="73" t="str">
        <f>IF(I168="G",K168,"")</f>
        <v/>
      </c>
      <c r="K168" s="52"/>
      <c r="L168" s="84" t="str">
        <f>IF(ISBLANK($A168),"",VLOOKUP($C168,Knots,2,FALSE))</f>
        <v/>
      </c>
      <c r="M168" s="84" t="str">
        <f>IF(ISBLANK($A168),"",VLOOKUP($C168,Knots,3,FALSE))</f>
        <v/>
      </c>
      <c r="N168" s="84" t="str">
        <f>IF(ISBLANK($A168),"",VLOOKUP($C168,Knots,4,FALSE))</f>
        <v/>
      </c>
      <c r="O168" s="85" t="str">
        <f>IF(ISBLANK(A168),"",M168*(F168*24))</f>
        <v/>
      </c>
      <c r="P168" s="86" t="str">
        <f>IF(ISBLANK(A168),"",O168*$I$8)</f>
        <v/>
      </c>
    </row>
    <row r="169" spans="1:21">
      <c r="A169" s="42"/>
      <c r="B169" s="48"/>
      <c r="C169" s="48" t="str">
        <f>IF(ISBLANK(A169),"",Plan_Speed)</f>
        <v/>
      </c>
      <c r="D169" s="48"/>
      <c r="E169" s="43" t="str">
        <f>IF(ISBLANK(A169),"",C169+D169)</f>
        <v/>
      </c>
      <c r="F169" s="44" t="str">
        <f>IF(ISBLANK(A169),"",(B169/E169)/24)</f>
        <v/>
      </c>
      <c r="G169" s="46" t="str">
        <f>IF(I168="G","",IF(ISBLANK(A169),"",G168+H168+F169))</f>
        <v/>
      </c>
      <c r="H169" s="52"/>
      <c r="I169" s="43"/>
      <c r="J169" s="46" t="str">
        <f>IF(ISBLANK(I168),"",IF(ISBLANK(A169),"",J168+H169+F169))</f>
        <v/>
      </c>
      <c r="K169" s="46"/>
      <c r="L169" s="43" t="str">
        <f>IF(ISBLANK($A169),"",VLOOKUP($C169,Knots,2,FALSE))</f>
        <v/>
      </c>
      <c r="M169" s="43" t="str">
        <f>IF(ISBLANK($A169),"",VLOOKUP($C169,Knots,3,FALSE))</f>
        <v/>
      </c>
      <c r="N169" s="43" t="str">
        <f>IF(ISBLANK($A169),"",VLOOKUP($C169,Knots,4,FALSE))</f>
        <v/>
      </c>
      <c r="O169" s="47" t="str">
        <f>IF(ISBLANK(A169),"",M169*(F169*24))</f>
        <v/>
      </c>
      <c r="P169" s="65" t="str">
        <f>IF(ISBLANK(A169),"",O169*$I$8)</f>
        <v/>
      </c>
    </row>
    <row r="170" spans="1:21">
      <c r="A170" s="42"/>
      <c r="B170" s="48"/>
      <c r="C170" s="48" t="str">
        <f>IF(ISBLANK(A170),"",Plan_Speed)</f>
        <v/>
      </c>
      <c r="D170" s="48"/>
      <c r="E170" s="43" t="str">
        <f>IF(ISBLANK(A170),"",C170+D170)</f>
        <v/>
      </c>
      <c r="F170" s="44" t="str">
        <f>IF(ISBLANK(A170),"",(B170/E170)/24)</f>
        <v/>
      </c>
      <c r="G170" s="46" t="str">
        <f>IF(I168="G","",IF(ISBLANK(A170),"",G169+H169+F170))</f>
        <v/>
      </c>
      <c r="H170" s="52"/>
      <c r="I170" s="43"/>
      <c r="J170" s="46" t="str">
        <f>IF(ISBLANK(I168),"",IF(ISBLANK(A170),"",J169+H170+F170))</f>
        <v/>
      </c>
      <c r="K170" s="46"/>
      <c r="L170" s="43" t="str">
        <f>IF(ISBLANK($A170),"",VLOOKUP($C170,Knots,2,FALSE))</f>
        <v/>
      </c>
      <c r="M170" s="43" t="str">
        <f>IF(ISBLANK($A170),"",VLOOKUP($C170,Knots,3,FALSE))</f>
        <v/>
      </c>
      <c r="N170" s="43" t="str">
        <f>IF(ISBLANK($A170),"",VLOOKUP($C170,Knots,4,FALSE))</f>
        <v/>
      </c>
      <c r="O170" s="47" t="str">
        <f>IF(ISBLANK(A170),"",M170*(F170*24))</f>
        <v/>
      </c>
      <c r="P170" s="65" t="str">
        <f>IF(ISBLANK(A170),"",O170*$I$8)</f>
        <v/>
      </c>
    </row>
    <row r="171" spans="1:21">
      <c r="A171" s="92" t="s">
        <v>76</v>
      </c>
      <c r="B171">
        <f>SUM(B165:B170)</f>
        <v>11</v>
      </c>
      <c r="E171" s="67" t="s">
        <v>75</v>
      </c>
      <c r="F171" s="77">
        <f>SUM(F166:F170)</f>
        <v>5.7291666666666664E-2</v>
      </c>
    </row>
    <row r="173" spans="1:21" ht="15">
      <c r="A173" s="37" t="s">
        <v>128</v>
      </c>
      <c r="G173" s="14" t="s">
        <v>66</v>
      </c>
      <c r="J173" s="74" t="s">
        <v>70</v>
      </c>
    </row>
    <row r="174" spans="1:21">
      <c r="A174" s="38" t="s">
        <v>45</v>
      </c>
      <c r="B174" s="39" t="s">
        <v>46</v>
      </c>
      <c r="C174" s="39" t="s">
        <v>47</v>
      </c>
      <c r="D174" s="39" t="s">
        <v>48</v>
      </c>
      <c r="E174" s="39" t="s">
        <v>49</v>
      </c>
      <c r="F174" s="39" t="s">
        <v>51</v>
      </c>
      <c r="G174" s="39" t="s">
        <v>12</v>
      </c>
      <c r="H174" s="39" t="s">
        <v>59</v>
      </c>
      <c r="I174" s="39" t="s">
        <v>53</v>
      </c>
      <c r="J174" s="39" t="s">
        <v>52</v>
      </c>
      <c r="K174" s="39" t="s">
        <v>54</v>
      </c>
      <c r="L174" s="39" t="s">
        <v>31</v>
      </c>
      <c r="M174" s="39" t="s">
        <v>32</v>
      </c>
      <c r="N174" s="39" t="s">
        <v>55</v>
      </c>
      <c r="O174" s="39" t="s">
        <v>56</v>
      </c>
      <c r="P174" s="39" t="s">
        <v>57</v>
      </c>
    </row>
    <row r="175" spans="1:21">
      <c r="A175" s="15" t="s">
        <v>90</v>
      </c>
      <c r="B175" s="45"/>
      <c r="C175" s="45"/>
      <c r="D175" s="45"/>
      <c r="E175" s="45"/>
      <c r="F175" s="45"/>
      <c r="G175" s="51"/>
      <c r="H175" s="45"/>
      <c r="I175" s="45"/>
      <c r="J175" s="46" t="str">
        <f>IF(I177="G",IF(ISBLANK(A176),J176,J176-F176),"")</f>
        <v/>
      </c>
      <c r="K175" s="45"/>
      <c r="L175" s="45"/>
      <c r="M175" s="45"/>
      <c r="N175" s="45"/>
      <c r="O175" s="45"/>
      <c r="P175" s="64">
        <f>SUM(P176:P179)</f>
        <v>10.78125</v>
      </c>
      <c r="R175" s="66">
        <f>P175</f>
        <v>10.78125</v>
      </c>
      <c r="S175" s="70">
        <f>SUM(O176:O179)</f>
        <v>3.125</v>
      </c>
    </row>
    <row r="176" spans="1:21">
      <c r="A176" s="15" t="s">
        <v>143</v>
      </c>
      <c r="B176" s="48">
        <v>5</v>
      </c>
      <c r="C176" s="48">
        <f>IF(ISBLANK(A176),"",Plan_Speed)</f>
        <v>8</v>
      </c>
      <c r="D176" s="48"/>
      <c r="E176" s="43">
        <f>IF(ISBLANK(A176),"",C176+D176)</f>
        <v>8</v>
      </c>
      <c r="F176" s="44">
        <f>IF(ISBLANK(A176),"",(B176/E176)/24)</f>
        <v>2.6041666666666668E-2</v>
      </c>
      <c r="G176" s="46">
        <f>IF(I177="G","",IF(ISBLANK(A176),"",G175+H175+F176))</f>
        <v>2.6041666666666668E-2</v>
      </c>
      <c r="H176" s="52"/>
      <c r="I176" s="43"/>
      <c r="J176" s="46" t="str">
        <f>IF(I177="G",K177-F177-H176,"")</f>
        <v/>
      </c>
      <c r="K176" s="46"/>
      <c r="L176" s="43">
        <f>IF(ISBLANK($A176),"",VLOOKUP($C176,Knots,2,FALSE))</f>
        <v>1400</v>
      </c>
      <c r="M176" s="43">
        <f>IF(ISBLANK($A176),"",VLOOKUP($C176,Knots,3,FALSE))</f>
        <v>5</v>
      </c>
      <c r="N176" s="43">
        <f>IF(ISBLANK($A176),"",VLOOKUP($C176,Knots,4,FALSE))</f>
        <v>1.6</v>
      </c>
      <c r="O176" s="47">
        <f>IF(ISBLANK(A176),"",M176*(F176*24))</f>
        <v>3.125</v>
      </c>
      <c r="P176" s="65">
        <f>IF(ISBLANK(A176),"",O176*$I$8)</f>
        <v>10.78125</v>
      </c>
    </row>
    <row r="177" spans="1:21">
      <c r="A177" s="42"/>
      <c r="B177" s="48"/>
      <c r="C177" s="48" t="str">
        <f>IF(ISBLANK(A177),"",Plan_Speed)</f>
        <v/>
      </c>
      <c r="D177" s="48"/>
      <c r="E177" s="43" t="str">
        <f>IF(ISBLANK(A177),"",C177+D177)</f>
        <v/>
      </c>
      <c r="F177" s="44" t="str">
        <f>IF(ISBLANK(A177),"",(B177/E177)/24)</f>
        <v/>
      </c>
      <c r="G177" s="46" t="str">
        <f>IF(I177="G","",IF(ISBLANK(A177),"",G176+H176+F177))</f>
        <v/>
      </c>
      <c r="H177" s="52"/>
      <c r="I177" s="72"/>
      <c r="J177" s="73" t="str">
        <f>IF(I177="G",K177,"")</f>
        <v/>
      </c>
      <c r="K177" s="52"/>
      <c r="L177" s="43" t="str">
        <f>IF(ISBLANK($A177),"",VLOOKUP($C177,Knots,2,FALSE))</f>
        <v/>
      </c>
      <c r="M177" s="43" t="str">
        <f>IF(ISBLANK($A177),"",VLOOKUP($C177,Knots,3,FALSE))</f>
        <v/>
      </c>
      <c r="N177" s="43" t="str">
        <f>IF(ISBLANK($A177),"",VLOOKUP($C177,Knots,4,FALSE))</f>
        <v/>
      </c>
      <c r="O177" s="47" t="str">
        <f>IF(ISBLANK(A177),"",M177*(F177*24))</f>
        <v/>
      </c>
      <c r="P177" s="65" t="str">
        <f>IF(ISBLANK(A177),"",O177*$I$8)</f>
        <v/>
      </c>
    </row>
    <row r="178" spans="1:21">
      <c r="A178" s="42"/>
      <c r="B178" s="48"/>
      <c r="C178" s="48" t="str">
        <f>IF(ISBLANK(A178),"",Plan_Speed)</f>
        <v/>
      </c>
      <c r="D178" s="48"/>
      <c r="E178" s="43" t="str">
        <f>IF(ISBLANK(A178),"",C178+D178)</f>
        <v/>
      </c>
      <c r="F178" s="44" t="str">
        <f>IF(ISBLANK(A178),"",(B178/E178)/24)</f>
        <v/>
      </c>
      <c r="G178" s="46" t="str">
        <f>IF(I177="G","",IF(ISBLANK(A178),"",G177+H177+F178))</f>
        <v/>
      </c>
      <c r="H178" s="52"/>
      <c r="I178" s="43"/>
      <c r="J178" s="46" t="str">
        <f>IF(ISBLANK(I177),"",IF(ISBLANK(A178),"",J177+H178+F178))</f>
        <v/>
      </c>
      <c r="K178" s="46"/>
      <c r="L178" s="43" t="str">
        <f>IF(ISBLANK($A178),"",VLOOKUP($C178,Knots,2,FALSE))</f>
        <v/>
      </c>
      <c r="M178" s="43" t="str">
        <f>IF(ISBLANK($A178),"",VLOOKUP($C178,Knots,3,FALSE))</f>
        <v/>
      </c>
      <c r="N178" s="43" t="str">
        <f>IF(ISBLANK($A178),"",VLOOKUP($C178,Knots,4,FALSE))</f>
        <v/>
      </c>
      <c r="O178" s="47" t="str">
        <f>IF(ISBLANK(A178),"",M178*(F178*24))</f>
        <v/>
      </c>
      <c r="P178" s="65" t="str">
        <f>IF(ISBLANK(A178),"",O178*$I$8)</f>
        <v/>
      </c>
    </row>
    <row r="179" spans="1:21">
      <c r="A179" s="41"/>
      <c r="B179" s="48"/>
      <c r="C179" s="48" t="str">
        <f>IF(ISBLANK(A179),"",Plan_Speed)</f>
        <v/>
      </c>
      <c r="D179" s="48"/>
      <c r="E179" s="43" t="str">
        <f>IF(ISBLANK(A179),"",C179+D179)</f>
        <v/>
      </c>
      <c r="F179" s="44" t="str">
        <f>IF(ISBLANK(A179),"",(B179/E179)/24)</f>
        <v/>
      </c>
      <c r="G179" s="46" t="str">
        <f>IF(I177="G","",IF(ISBLANK(A179),"",G178+H178+F179))</f>
        <v/>
      </c>
      <c r="H179" s="52"/>
      <c r="I179" s="43"/>
      <c r="J179" s="46" t="str">
        <f>IF(ISBLANK(I177),"",IF(ISBLANK(A179),"",J178+H179+F179))</f>
        <v/>
      </c>
      <c r="K179" s="46"/>
      <c r="L179" s="43" t="str">
        <f>IF(ISBLANK($A179),"",VLOOKUP($C179,Knots,2,FALSE))</f>
        <v/>
      </c>
      <c r="M179" s="43" t="str">
        <f>IF(ISBLANK($A179),"",VLOOKUP($C179,Knots,3,FALSE))</f>
        <v/>
      </c>
      <c r="N179" s="43" t="str">
        <f>IF(ISBLANK($A179),"",VLOOKUP($C179,Knots,4,FALSE))</f>
        <v/>
      </c>
      <c r="O179" s="47" t="str">
        <f>IF(ISBLANK(A179),"",M179*(F179*24))</f>
        <v/>
      </c>
      <c r="P179" s="65" t="str">
        <f>IF(ISBLANK(A179),"",O179*$I$8)</f>
        <v/>
      </c>
    </row>
    <row r="180" spans="1:21">
      <c r="A180" s="92" t="s">
        <v>76</v>
      </c>
      <c r="B180">
        <f>SUM(B174:B179)</f>
        <v>5</v>
      </c>
      <c r="E180" s="67" t="s">
        <v>75</v>
      </c>
      <c r="F180" s="77">
        <f>SUM(F175:F179)</f>
        <v>2.6041666666666668E-2</v>
      </c>
    </row>
    <row r="182" spans="1:21" ht="15">
      <c r="A182" s="37" t="s">
        <v>110</v>
      </c>
      <c r="G182" s="14" t="s">
        <v>66</v>
      </c>
      <c r="J182" s="74" t="s">
        <v>70</v>
      </c>
    </row>
    <row r="183" spans="1:21">
      <c r="A183" s="38" t="s">
        <v>45</v>
      </c>
      <c r="B183" s="39" t="s">
        <v>46</v>
      </c>
      <c r="C183" s="39" t="s">
        <v>47</v>
      </c>
      <c r="D183" s="39" t="s">
        <v>48</v>
      </c>
      <c r="E183" s="39" t="s">
        <v>49</v>
      </c>
      <c r="F183" s="39" t="s">
        <v>51</v>
      </c>
      <c r="G183" s="39" t="s">
        <v>12</v>
      </c>
      <c r="H183" s="39" t="s">
        <v>59</v>
      </c>
      <c r="I183" s="39" t="s">
        <v>53</v>
      </c>
      <c r="J183" s="39" t="s">
        <v>52</v>
      </c>
      <c r="K183" s="39" t="s">
        <v>54</v>
      </c>
      <c r="L183" s="39" t="s">
        <v>31</v>
      </c>
      <c r="M183" s="39" t="s">
        <v>32</v>
      </c>
      <c r="N183" s="39" t="s">
        <v>55</v>
      </c>
      <c r="O183" s="39" t="s">
        <v>56</v>
      </c>
      <c r="P183" s="39" t="s">
        <v>57</v>
      </c>
    </row>
    <row r="184" spans="1:21">
      <c r="A184" s="15" t="s">
        <v>143</v>
      </c>
      <c r="B184" s="45"/>
      <c r="C184" s="45"/>
      <c r="D184" s="45"/>
      <c r="E184" s="45"/>
      <c r="F184" s="45"/>
      <c r="G184" s="51">
        <v>0.375</v>
      </c>
      <c r="H184" s="45"/>
      <c r="I184" s="45"/>
      <c r="J184" s="46" t="str">
        <f>IF(I186="G",IF(ISBLANK(A185),J185,J185-F185),"")</f>
        <v/>
      </c>
      <c r="K184" s="45"/>
      <c r="L184" s="45"/>
      <c r="M184" s="45"/>
      <c r="N184" s="45"/>
      <c r="O184" s="45"/>
      <c r="P184" s="64">
        <f>SUM(P185:P188)</f>
        <v>43.125</v>
      </c>
      <c r="R184" s="66">
        <f>P184</f>
        <v>43.125</v>
      </c>
      <c r="S184" s="70">
        <f>SUM(O185:O188)</f>
        <v>12.5</v>
      </c>
    </row>
    <row r="185" spans="1:21">
      <c r="A185" s="15" t="s">
        <v>91</v>
      </c>
      <c r="B185" s="48">
        <v>20</v>
      </c>
      <c r="C185" s="48">
        <f>IF(ISBLANK(A185),"",Plan_Speed)</f>
        <v>8</v>
      </c>
      <c r="D185" s="48"/>
      <c r="E185" s="43">
        <f>IF(ISBLANK(A185),"",C185+D185)</f>
        <v>8</v>
      </c>
      <c r="F185" s="44">
        <f>IF(ISBLANK(A185),"",(B185/E185)/24)</f>
        <v>0.10416666666666667</v>
      </c>
      <c r="G185" s="46">
        <f>IF(I186="G","",IF(ISBLANK(A185),"",G184+H184+F185))</f>
        <v>0.47916666666666669</v>
      </c>
      <c r="H185" s="52"/>
      <c r="I185" s="43"/>
      <c r="J185" s="46" t="str">
        <f>IF(I186="G",K186-F186-H185,"")</f>
        <v/>
      </c>
      <c r="K185" s="46"/>
      <c r="L185" s="112">
        <f>IF(ISBLANK($A185),"",VLOOKUP($C185,Knots,2,FALSE))</f>
        <v>1400</v>
      </c>
      <c r="M185" s="112">
        <f>IF(ISBLANK($A185),"",VLOOKUP($C185,Knots,3,FALSE))</f>
        <v>5</v>
      </c>
      <c r="N185" s="112">
        <f>IF(ISBLANK($A185),"",VLOOKUP($C185,Knots,4,FALSE))</f>
        <v>1.6</v>
      </c>
      <c r="O185" s="113">
        <f>IF(ISBLANK(A185),"",M185*(F185*24))</f>
        <v>12.5</v>
      </c>
      <c r="P185" s="114">
        <f>IF(ISBLANK(A185),"",O185*$I$8)</f>
        <v>43.125</v>
      </c>
      <c r="T185" s="66"/>
      <c r="U185" s="70"/>
    </row>
    <row r="186" spans="1:21">
      <c r="A186" s="42"/>
      <c r="B186" s="72"/>
      <c r="C186" s="72" t="str">
        <f>IF(ISBLANK(A186),"",Plan_Speed)</f>
        <v/>
      </c>
      <c r="D186" s="72"/>
      <c r="E186" s="112" t="str">
        <f>IF(ISBLANK(A186),"",C186+D186)</f>
        <v/>
      </c>
      <c r="F186" s="90" t="str">
        <f>IF(ISBLANK(A186),"",(B186/E186)/24)</f>
        <v/>
      </c>
      <c r="G186" s="132" t="str">
        <f>IF(I186="G","",IF(ISBLANK(A186),"",G185+H185+F186))</f>
        <v/>
      </c>
      <c r="H186" s="133"/>
      <c r="I186" s="72"/>
      <c r="J186" s="135" t="str">
        <f>IF(I186="G",K186,"")</f>
        <v/>
      </c>
      <c r="K186" s="133"/>
      <c r="L186" s="112" t="str">
        <f>IF(ISBLANK($A186),"",VLOOKUP($C186,Knots,2,FALSE))</f>
        <v/>
      </c>
      <c r="M186" s="112" t="str">
        <f>IF(ISBLANK($A186),"",VLOOKUP($C186,Knots,3,FALSE))</f>
        <v/>
      </c>
      <c r="N186" s="112" t="str">
        <f>IF(ISBLANK($A186),"",VLOOKUP($C186,Knots,4,FALSE))</f>
        <v/>
      </c>
      <c r="O186" s="113" t="str">
        <f>IF(ISBLANK(A186),"",M186*(F186*24))</f>
        <v/>
      </c>
      <c r="P186" s="114" t="str">
        <f>IF(ISBLANK(A186),"",O186*$I$8)</f>
        <v/>
      </c>
    </row>
    <row r="187" spans="1:21">
      <c r="A187" s="42"/>
      <c r="B187" s="48"/>
      <c r="C187" s="48" t="str">
        <f>IF(ISBLANK(A187),"",Plan_Speed)</f>
        <v/>
      </c>
      <c r="D187" s="48"/>
      <c r="E187" s="43" t="str">
        <f>IF(ISBLANK(A187),"",C187+D187)</f>
        <v/>
      </c>
      <c r="F187" s="44" t="str">
        <f>IF(ISBLANK(A187),"",(B187/E187)/24)</f>
        <v/>
      </c>
      <c r="G187" s="46" t="str">
        <f>IF(I186="G","",IF(ISBLANK(A187),"",G186+H186+F187))</f>
        <v/>
      </c>
      <c r="H187" s="52"/>
      <c r="I187" s="43"/>
      <c r="J187" s="46" t="str">
        <f>IF(ISBLANK(I186),"",IF(ISBLANK(A187),"",J186+H187+F187))</f>
        <v/>
      </c>
      <c r="K187" s="46"/>
      <c r="L187" s="43" t="str">
        <f>IF(ISBLANK($A187),"",VLOOKUP($C187,Knots,2,FALSE))</f>
        <v/>
      </c>
      <c r="M187" s="43" t="str">
        <f>IF(ISBLANK($A187),"",VLOOKUP($C187,Knots,3,FALSE))</f>
        <v/>
      </c>
      <c r="N187" s="43" t="str">
        <f>IF(ISBLANK($A187),"",VLOOKUP($C187,Knots,4,FALSE))</f>
        <v/>
      </c>
      <c r="O187" s="47" t="str">
        <f>IF(ISBLANK(A187),"",M187*(F187*24))</f>
        <v/>
      </c>
      <c r="P187" s="65" t="str">
        <f>IF(ISBLANK(A187),"",O187*$I$8)</f>
        <v/>
      </c>
    </row>
    <row r="188" spans="1:21">
      <c r="A188" s="42"/>
      <c r="B188" s="48"/>
      <c r="C188" s="48" t="str">
        <f>IF(ISBLANK(A188),"",Plan_Speed)</f>
        <v/>
      </c>
      <c r="D188" s="48"/>
      <c r="E188" s="43" t="str">
        <f>IF(ISBLANK(A188),"",C188+D188)</f>
        <v/>
      </c>
      <c r="F188" s="44" t="str">
        <f>IF(ISBLANK(A188),"",(B188/E188)/24)</f>
        <v/>
      </c>
      <c r="G188" s="46" t="str">
        <f>IF(I186="G","",IF(ISBLANK(A188),"",G187+H187+F188))</f>
        <v/>
      </c>
      <c r="H188" s="52"/>
      <c r="I188" s="43"/>
      <c r="J188" s="46" t="str">
        <f>IF(ISBLANK(I186),"",IF(ISBLANK(A188),"",J187+H188+F188))</f>
        <v/>
      </c>
      <c r="K188" s="46"/>
      <c r="L188" s="43" t="str">
        <f>IF(ISBLANK($A188),"",VLOOKUP($C188,Knots,2,FALSE))</f>
        <v/>
      </c>
      <c r="M188" s="43" t="str">
        <f>IF(ISBLANK($A188),"",VLOOKUP($C188,Knots,3,FALSE))</f>
        <v/>
      </c>
      <c r="N188" s="43" t="str">
        <f>IF(ISBLANK($A188),"",VLOOKUP($C188,Knots,4,FALSE))</f>
        <v/>
      </c>
      <c r="O188" s="47" t="str">
        <f>IF(ISBLANK(A188),"",M188*(F188*24))</f>
        <v/>
      </c>
      <c r="P188" s="65" t="str">
        <f>IF(ISBLANK(A188),"",O188*$I$8)</f>
        <v/>
      </c>
    </row>
    <row r="189" spans="1:21">
      <c r="A189" s="92" t="s">
        <v>76</v>
      </c>
      <c r="B189">
        <f>SUM(B183:B188)</f>
        <v>20</v>
      </c>
      <c r="E189" s="67" t="s">
        <v>75</v>
      </c>
      <c r="F189" s="77">
        <f>SUM(F184:F188)</f>
        <v>0.10416666666666667</v>
      </c>
    </row>
    <row r="191" spans="1:21" ht="15">
      <c r="A191" s="37" t="s">
        <v>111</v>
      </c>
      <c r="G191" s="14" t="s">
        <v>66</v>
      </c>
      <c r="J191" s="74" t="s">
        <v>70</v>
      </c>
    </row>
    <row r="192" spans="1:21">
      <c r="A192" s="38" t="s">
        <v>45</v>
      </c>
      <c r="B192" s="39" t="s">
        <v>46</v>
      </c>
      <c r="C192" s="39" t="s">
        <v>47</v>
      </c>
      <c r="D192" s="39" t="s">
        <v>48</v>
      </c>
      <c r="E192" s="39" t="s">
        <v>49</v>
      </c>
      <c r="F192" s="39" t="s">
        <v>51</v>
      </c>
      <c r="G192" s="39" t="s">
        <v>12</v>
      </c>
      <c r="H192" s="39" t="s">
        <v>59</v>
      </c>
      <c r="I192" s="39" t="s">
        <v>53</v>
      </c>
      <c r="J192" s="39" t="s">
        <v>52</v>
      </c>
      <c r="K192" s="39" t="s">
        <v>54</v>
      </c>
      <c r="L192" s="39" t="s">
        <v>31</v>
      </c>
      <c r="M192" s="39" t="s">
        <v>32</v>
      </c>
      <c r="N192" s="39" t="s">
        <v>55</v>
      </c>
      <c r="O192" s="39" t="s">
        <v>56</v>
      </c>
      <c r="P192" s="39" t="s">
        <v>57</v>
      </c>
    </row>
    <row r="193" spans="1:21">
      <c r="A193" s="15" t="s">
        <v>91</v>
      </c>
      <c r="B193" s="45"/>
      <c r="C193" s="45"/>
      <c r="D193" s="45"/>
      <c r="E193" s="45"/>
      <c r="F193" s="45"/>
      <c r="G193" s="51">
        <v>0.33333333333333331</v>
      </c>
      <c r="H193" s="45"/>
      <c r="I193" s="45"/>
      <c r="J193" s="46" t="str">
        <f>IF(I195="G",IF(ISBLANK(A194),J194,J194-F194),"")</f>
        <v/>
      </c>
      <c r="K193" s="45"/>
      <c r="L193" s="45"/>
      <c r="M193" s="45"/>
      <c r="N193" s="45"/>
      <c r="O193" s="45"/>
      <c r="P193" s="64">
        <f>SUM(P194:P197)</f>
        <v>47.4375</v>
      </c>
      <c r="R193" s="66">
        <f>P193</f>
        <v>47.4375</v>
      </c>
      <c r="S193" s="70">
        <f>SUM(O194:O197)</f>
        <v>13.75</v>
      </c>
    </row>
    <row r="194" spans="1:21">
      <c r="A194" s="15" t="s">
        <v>30</v>
      </c>
      <c r="B194" s="91">
        <v>22</v>
      </c>
      <c r="C194" s="48">
        <f>IF(ISBLANK(A194),"",Plan_Speed)</f>
        <v>8</v>
      </c>
      <c r="D194" s="48"/>
      <c r="E194" s="43">
        <f>IF(ISBLANK(A194),"",C194+D194)</f>
        <v>8</v>
      </c>
      <c r="F194" s="44">
        <f>IF(ISBLANK(A194),"",(B194/E194)/24)</f>
        <v>0.11458333333333333</v>
      </c>
      <c r="G194" s="46">
        <f>IF(I195="G","",IF(ISBLANK(A194),"",G193+H193+F194))</f>
        <v>0.44791666666666663</v>
      </c>
      <c r="H194" s="52"/>
      <c r="I194" s="43"/>
      <c r="J194" s="46" t="str">
        <f>IF(I195="G",K195-F195-H194,"")</f>
        <v/>
      </c>
      <c r="K194" s="46"/>
      <c r="L194" s="43">
        <f>IF(ISBLANK($A194),"",VLOOKUP($C194,Knots,2,FALSE))</f>
        <v>1400</v>
      </c>
      <c r="M194" s="43">
        <f>IF(ISBLANK($A194),"",VLOOKUP($C194,Knots,3,FALSE))</f>
        <v>5</v>
      </c>
      <c r="N194" s="43">
        <f>IF(ISBLANK($A194),"",VLOOKUP($C194,Knots,4,FALSE))</f>
        <v>1.6</v>
      </c>
      <c r="O194" s="47">
        <f>IF(ISBLANK(A194),"",M194*(F194*24))</f>
        <v>13.75</v>
      </c>
      <c r="P194" s="65">
        <f>IF(ISBLANK(A194),"",O194*$I$8)</f>
        <v>47.4375</v>
      </c>
      <c r="T194" s="66"/>
      <c r="U194" s="70"/>
    </row>
    <row r="195" spans="1:21">
      <c r="A195" s="42"/>
      <c r="B195" s="48"/>
      <c r="C195" s="48" t="str">
        <f>IF(ISBLANK(A195),"",Plan_Speed)</f>
        <v/>
      </c>
      <c r="D195" s="48"/>
      <c r="E195" s="43" t="str">
        <f>IF(ISBLANK(A195),"",C195+D195)</f>
        <v/>
      </c>
      <c r="F195" s="44" t="str">
        <f>IF(ISBLANK(A195),"",(B195/E195)/24)</f>
        <v/>
      </c>
      <c r="G195" s="46" t="str">
        <f>IF(I195="G","",IF(ISBLANK(A195),"",G194+H194+F195))</f>
        <v/>
      </c>
      <c r="H195" s="52"/>
      <c r="I195" s="72"/>
      <c r="J195" s="73" t="str">
        <f>IF(I195="G",K195,"")</f>
        <v/>
      </c>
      <c r="K195" s="52"/>
      <c r="L195" s="43" t="str">
        <f>IF(ISBLANK($A195),"",VLOOKUP($C195,Knots,2,FALSE))</f>
        <v/>
      </c>
      <c r="M195" s="43" t="str">
        <f>IF(ISBLANK($A195),"",VLOOKUP($C195,Knots,3,FALSE))</f>
        <v/>
      </c>
      <c r="N195" s="43" t="str">
        <f>IF(ISBLANK($A195),"",VLOOKUP($C195,Knots,4,FALSE))</f>
        <v/>
      </c>
      <c r="O195" s="47" t="str">
        <f>IF(ISBLANK(A195),"",M195*(F195*24))</f>
        <v/>
      </c>
      <c r="P195" s="65" t="str">
        <f>IF(ISBLANK(A195),"",O195*$I$8)</f>
        <v/>
      </c>
    </row>
    <row r="196" spans="1:21">
      <c r="A196" s="42"/>
      <c r="B196" s="48"/>
      <c r="C196" s="48" t="str">
        <f>IF(ISBLANK(A196),"",Plan_Speed)</f>
        <v/>
      </c>
      <c r="D196" s="48"/>
      <c r="E196" s="43" t="str">
        <f>IF(ISBLANK(A196),"",C196+D196)</f>
        <v/>
      </c>
      <c r="F196" s="44" t="str">
        <f>IF(ISBLANK(A196),"",(B196/E196)/24)</f>
        <v/>
      </c>
      <c r="G196" s="46" t="str">
        <f>IF(I195="G","",IF(ISBLANK(A196),"",G195+H195+F196))</f>
        <v/>
      </c>
      <c r="H196" s="52"/>
      <c r="I196" s="43"/>
      <c r="J196" s="46" t="str">
        <f>IF(ISBLANK(I195),"",IF(ISBLANK(A196),"",J195+H196+F196))</f>
        <v/>
      </c>
      <c r="K196" s="46"/>
      <c r="L196" s="43" t="str">
        <f>IF(ISBLANK($A196),"",VLOOKUP($C196,Knots,2,FALSE))</f>
        <v/>
      </c>
      <c r="M196" s="43" t="str">
        <f>IF(ISBLANK($A196),"",VLOOKUP($C196,Knots,3,FALSE))</f>
        <v/>
      </c>
      <c r="N196" s="43" t="str">
        <f>IF(ISBLANK($A196),"",VLOOKUP($C196,Knots,4,FALSE))</f>
        <v/>
      </c>
      <c r="O196" s="47" t="str">
        <f>IF(ISBLANK(A196),"",M196*(F196*24))</f>
        <v/>
      </c>
      <c r="P196" s="65" t="str">
        <f>IF(ISBLANK(A196),"",O196*$I$8)</f>
        <v/>
      </c>
    </row>
    <row r="197" spans="1:21">
      <c r="A197" s="41"/>
      <c r="B197" s="48"/>
      <c r="C197" s="48" t="str">
        <f>IF(ISBLANK(A197),"",Plan_Speed)</f>
        <v/>
      </c>
      <c r="D197" s="48"/>
      <c r="E197" s="43" t="str">
        <f>IF(ISBLANK(A197),"",C197+D197)</f>
        <v/>
      </c>
      <c r="F197" s="44" t="str">
        <f>IF(ISBLANK(A197),"",(B197/E197)/24)</f>
        <v/>
      </c>
      <c r="G197" s="46" t="str">
        <f>IF(I195="G","",IF(ISBLANK(A197),"",G196+H196+F197))</f>
        <v/>
      </c>
      <c r="H197" s="52"/>
      <c r="I197" s="43"/>
      <c r="J197" s="46" t="str">
        <f>IF(ISBLANK(I195),"",IF(ISBLANK(A197),"",J196+H197+F197))</f>
        <v/>
      </c>
      <c r="K197" s="46"/>
      <c r="L197" s="43" t="str">
        <f>IF(ISBLANK($A197),"",VLOOKUP($C197,Knots,2,FALSE))</f>
        <v/>
      </c>
      <c r="M197" s="43" t="str">
        <f>IF(ISBLANK($A197),"",VLOOKUP($C197,Knots,3,FALSE))</f>
        <v/>
      </c>
      <c r="N197" s="43" t="str">
        <f>IF(ISBLANK($A197),"",VLOOKUP($C197,Knots,4,FALSE))</f>
        <v/>
      </c>
      <c r="O197" s="47" t="str">
        <f>IF(ISBLANK(A197),"",M197*(F197*24))</f>
        <v/>
      </c>
      <c r="P197" s="65" t="str">
        <f>IF(ISBLANK(A197),"",O197*$I$8)</f>
        <v/>
      </c>
    </row>
    <row r="198" spans="1:21">
      <c r="A198" s="92" t="s">
        <v>76</v>
      </c>
      <c r="B198">
        <f>SUM(B192:B197)</f>
        <v>22</v>
      </c>
      <c r="E198" s="67" t="s">
        <v>75</v>
      </c>
      <c r="F198" s="77">
        <f>SUM(F193:F197)</f>
        <v>0.11458333333333333</v>
      </c>
    </row>
    <row r="200" spans="1:21" ht="15">
      <c r="A200" s="37" t="s">
        <v>112</v>
      </c>
      <c r="G200" s="14" t="s">
        <v>66</v>
      </c>
      <c r="J200" s="74" t="s">
        <v>70</v>
      </c>
    </row>
    <row r="201" spans="1:21">
      <c r="A201" s="38" t="s">
        <v>45</v>
      </c>
      <c r="B201" s="39" t="s">
        <v>46</v>
      </c>
      <c r="C201" s="39" t="s">
        <v>47</v>
      </c>
      <c r="D201" s="39" t="s">
        <v>48</v>
      </c>
      <c r="E201" s="39" t="s">
        <v>49</v>
      </c>
      <c r="F201" s="39" t="s">
        <v>51</v>
      </c>
      <c r="G201" s="39" t="s">
        <v>12</v>
      </c>
      <c r="H201" s="39" t="s">
        <v>59</v>
      </c>
      <c r="I201" s="39" t="s">
        <v>53</v>
      </c>
      <c r="J201" s="39" t="s">
        <v>52</v>
      </c>
      <c r="K201" s="39" t="s">
        <v>54</v>
      </c>
      <c r="L201" s="39" t="s">
        <v>31</v>
      </c>
      <c r="M201" s="39" t="s">
        <v>32</v>
      </c>
      <c r="N201" s="39" t="s">
        <v>55</v>
      </c>
      <c r="O201" s="39" t="s">
        <v>56</v>
      </c>
      <c r="P201" s="39" t="s">
        <v>57</v>
      </c>
    </row>
    <row r="202" spans="1:21">
      <c r="A202" s="15" t="s">
        <v>30</v>
      </c>
      <c r="B202" s="45"/>
      <c r="C202" s="45"/>
      <c r="D202" s="45"/>
      <c r="E202" s="45"/>
      <c r="F202" s="45"/>
      <c r="G202" s="51">
        <v>0.3125</v>
      </c>
      <c r="H202" s="45"/>
      <c r="I202" s="45"/>
      <c r="J202" s="46" t="str">
        <f>IF(I204="G",IF(ISBLANK(A203),J203,J203-F203),"")</f>
        <v/>
      </c>
      <c r="K202" s="45"/>
      <c r="L202" s="45"/>
      <c r="M202" s="45"/>
      <c r="N202" s="45"/>
      <c r="O202" s="45"/>
      <c r="P202" s="64">
        <f>SUM(P203:P206)</f>
        <v>0</v>
      </c>
      <c r="R202" s="66">
        <f>P202</f>
        <v>0</v>
      </c>
      <c r="S202" s="70">
        <f>SUM(O203:O206)</f>
        <v>0</v>
      </c>
    </row>
    <row r="203" spans="1:21">
      <c r="A203" s="15" t="s">
        <v>30</v>
      </c>
      <c r="B203" s="48">
        <v>0</v>
      </c>
      <c r="C203" s="48">
        <f>IF(ISBLANK(A203),"",Plan_Speed)</f>
        <v>8</v>
      </c>
      <c r="D203" s="48"/>
      <c r="E203" s="43">
        <f>IF(ISBLANK(A203),"",C203+D203)</f>
        <v>8</v>
      </c>
      <c r="F203" s="44">
        <f>IF(ISBLANK(A203),"",(B203/E203)/24)</f>
        <v>0</v>
      </c>
      <c r="G203" s="46">
        <f>IF(I204="G","",IF(ISBLANK(A203),"",G202+H202+F203))</f>
        <v>0.3125</v>
      </c>
      <c r="H203" s="52"/>
      <c r="I203" s="43"/>
      <c r="J203" s="46" t="str">
        <f>IF(I204="G",K204-F204-H203,"")</f>
        <v/>
      </c>
      <c r="K203" s="46"/>
      <c r="L203" s="112">
        <f>IF(ISBLANK($A203),"",VLOOKUP($C203,Knots,2,FALSE))</f>
        <v>1400</v>
      </c>
      <c r="M203" s="112">
        <f>IF(ISBLANK($A203),"",VLOOKUP($C203,Knots,3,FALSE))</f>
        <v>5</v>
      </c>
      <c r="N203" s="112">
        <f>IF(ISBLANK($A203),"",VLOOKUP($C203,Knots,4,FALSE))</f>
        <v>1.6</v>
      </c>
      <c r="O203" s="113">
        <f>IF(ISBLANK(A203),"",M203*(F203*24))</f>
        <v>0</v>
      </c>
      <c r="P203" s="114">
        <f>IF(ISBLANK(A203),"",O203*$I$8)</f>
        <v>0</v>
      </c>
      <c r="T203" s="66"/>
      <c r="U203" s="70"/>
    </row>
    <row r="204" spans="1:21">
      <c r="A204" s="83"/>
      <c r="B204" s="91"/>
      <c r="C204" s="48" t="str">
        <f>IF(ISBLANK(A204),"",Plan_Speed)</f>
        <v/>
      </c>
      <c r="D204" s="48"/>
      <c r="E204" s="43" t="str">
        <f>IF(ISBLANK(A204),"",C204+D204)</f>
        <v/>
      </c>
      <c r="F204" s="44" t="str">
        <f>IF(ISBLANK(A204),"",(B204/E204)/24)</f>
        <v/>
      </c>
      <c r="G204" s="46" t="str">
        <f>IF(I204="G","",IF(ISBLANK(A204),"",G203+H203+F204))</f>
        <v/>
      </c>
      <c r="H204" s="52"/>
      <c r="I204" s="72"/>
      <c r="J204" s="73" t="str">
        <f>IF(I204="G",K204,"")</f>
        <v/>
      </c>
      <c r="K204" s="52"/>
      <c r="L204" s="84" t="str">
        <f>IF(ISBLANK($A204),"",VLOOKUP($C204,Knots,2,FALSE))</f>
        <v/>
      </c>
      <c r="M204" s="84" t="str">
        <f>IF(ISBLANK($A204),"",VLOOKUP($C204,Knots,3,FALSE))</f>
        <v/>
      </c>
      <c r="N204" s="84" t="str">
        <f>IF(ISBLANK($A204),"",VLOOKUP($C204,Knots,4,FALSE))</f>
        <v/>
      </c>
      <c r="O204" s="85" t="str">
        <f>IF(ISBLANK(A204),"",M204*(F204*24))</f>
        <v/>
      </c>
      <c r="P204" s="86" t="str">
        <f>IF(ISBLANK(A204),"",O204*$I$8)</f>
        <v/>
      </c>
    </row>
    <row r="205" spans="1:21">
      <c r="A205" s="42"/>
      <c r="B205" s="48"/>
      <c r="C205" s="48" t="str">
        <f>IF(ISBLANK(A205),"",Plan_Speed)</f>
        <v/>
      </c>
      <c r="D205" s="48"/>
      <c r="E205" s="43" t="str">
        <f>IF(ISBLANK(A205),"",C205+D205)</f>
        <v/>
      </c>
      <c r="F205" s="44" t="str">
        <f>IF(ISBLANK(A205),"",(B205/E205)/24)</f>
        <v/>
      </c>
      <c r="G205" s="46" t="str">
        <f>IF(I204="G","",IF(ISBLANK(A205),"",G204+H204+F205))</f>
        <v/>
      </c>
      <c r="H205" s="52"/>
      <c r="I205" s="43"/>
      <c r="J205" s="46" t="str">
        <f>IF(ISBLANK(I204),"",IF(ISBLANK(A205),"",J204+H205+F205))</f>
        <v/>
      </c>
      <c r="K205" s="46"/>
      <c r="L205" s="43" t="str">
        <f>IF(ISBLANK($A205),"",VLOOKUP($C205,Knots,2,FALSE))</f>
        <v/>
      </c>
      <c r="M205" s="43" t="str">
        <f>IF(ISBLANK($A205),"",VLOOKUP($C205,Knots,3,FALSE))</f>
        <v/>
      </c>
      <c r="N205" s="43" t="str">
        <f>IF(ISBLANK($A205),"",VLOOKUP($C205,Knots,4,FALSE))</f>
        <v/>
      </c>
      <c r="O205" s="47" t="str">
        <f>IF(ISBLANK(A205),"",M205*(F205*24))</f>
        <v/>
      </c>
      <c r="P205" s="65" t="str">
        <f>IF(ISBLANK(A205),"",O205*$I$8)</f>
        <v/>
      </c>
    </row>
    <row r="206" spans="1:21">
      <c r="A206" s="42"/>
      <c r="B206" s="48"/>
      <c r="C206" s="48" t="str">
        <f>IF(ISBLANK(A206),"",Plan_Speed)</f>
        <v/>
      </c>
      <c r="D206" s="48"/>
      <c r="E206" s="43" t="str">
        <f>IF(ISBLANK(A206),"",C206+D206)</f>
        <v/>
      </c>
      <c r="F206" s="44" t="str">
        <f>IF(ISBLANK(A206),"",(B206/E206)/24)</f>
        <v/>
      </c>
      <c r="G206" s="46" t="str">
        <f>IF(I204="G","",IF(ISBLANK(A206),"",G205+H205+F206))</f>
        <v/>
      </c>
      <c r="H206" s="52"/>
      <c r="I206" s="43"/>
      <c r="J206" s="46" t="str">
        <f>IF(ISBLANK(I204),"",IF(ISBLANK(A206),"",J205+H206+F206))</f>
        <v/>
      </c>
      <c r="K206" s="46"/>
      <c r="L206" s="43" t="str">
        <f>IF(ISBLANK($A206),"",VLOOKUP($C206,Knots,2,FALSE))</f>
        <v/>
      </c>
      <c r="M206" s="43" t="str">
        <f>IF(ISBLANK($A206),"",VLOOKUP($C206,Knots,3,FALSE))</f>
        <v/>
      </c>
      <c r="N206" s="43" t="str">
        <f>IF(ISBLANK($A206),"",VLOOKUP($C206,Knots,4,FALSE))</f>
        <v/>
      </c>
      <c r="O206" s="47" t="str">
        <f>IF(ISBLANK(A206),"",M206*(F206*24))</f>
        <v/>
      </c>
      <c r="P206" s="65" t="str">
        <f>IF(ISBLANK(A206),"",O206*$I$8)</f>
        <v/>
      </c>
    </row>
    <row r="207" spans="1:21">
      <c r="A207" s="92" t="s">
        <v>76</v>
      </c>
      <c r="B207">
        <f>SUM(B201:B206)</f>
        <v>0</v>
      </c>
      <c r="E207" s="67" t="s">
        <v>75</v>
      </c>
      <c r="F207" s="77">
        <f>SUM(F202:F206)</f>
        <v>0</v>
      </c>
    </row>
  </sheetData>
  <phoneticPr fontId="1" type="noConversion"/>
  <pageMargins left="0.2" right="0.2" top="0.5" bottom="0.5" header="0.25" footer="0.25"/>
  <pageSetup scale="82" fitToHeight="4" orientation="landscape" horizontalDpi="0" verticalDpi="0" r:id="rId1"/>
  <headerFooter alignWithMargins="0">
    <oddFooter>&amp;L&amp;F &amp;A&amp;R&amp;P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H40" sqref="H4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110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143</v>
      </c>
      <c r="B3" s="45"/>
      <c r="C3" s="45"/>
      <c r="D3" s="45"/>
      <c r="E3" s="45"/>
      <c r="F3" s="45"/>
      <c r="G3" s="51">
        <v>0.375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91</v>
      </c>
      <c r="B4" s="48">
        <v>20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0.10416666666666667</v>
      </c>
      <c r="G4" s="46">
        <f>IF(I5="G","",IF(ISBLANK(A4),"",G3+H3+F4))</f>
        <v>0.47916666666666669</v>
      </c>
      <c r="H4" s="52"/>
      <c r="I4" s="43"/>
      <c r="J4" s="46" t="str">
        <f>IF(I5="G",K5-F5-H4,"")</f>
        <v/>
      </c>
      <c r="K4" s="46"/>
    </row>
    <row r="5" spans="1:11">
      <c r="A5" s="42"/>
      <c r="B5" s="72"/>
      <c r="C5" s="72" t="str">
        <f>IF(ISBLANK(A5),"",Plan_Speed)</f>
        <v/>
      </c>
      <c r="D5" s="72"/>
      <c r="E5" s="112" t="str">
        <f>IF(ISBLANK(A5),"",C5+D5)</f>
        <v/>
      </c>
      <c r="F5" s="90" t="str">
        <f>IF(ISBLANK(A5),"",(B5/E5)/24)</f>
        <v/>
      </c>
      <c r="G5" s="132" t="str">
        <f>IF(I5="G","",IF(ISBLANK(A5),"",G4+H4+F5))</f>
        <v/>
      </c>
      <c r="H5" s="133"/>
      <c r="I5" s="72"/>
      <c r="J5" s="135" t="str">
        <f>IF(I5="G",K5,"")</f>
        <v/>
      </c>
      <c r="K5" s="133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2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20</v>
      </c>
      <c r="E8" s="67" t="s">
        <v>75</v>
      </c>
      <c r="F8" s="77">
        <f>SUM(F3:F7)</f>
        <v>0.10416666666666667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868</v>
      </c>
      <c r="B29" s="151"/>
      <c r="C29" s="151"/>
      <c r="D29" s="151"/>
      <c r="E29" s="151"/>
      <c r="F29" s="151"/>
      <c r="G29" s="151"/>
      <c r="H29" s="147" t="s">
        <v>876</v>
      </c>
      <c r="I29" s="127"/>
      <c r="J29" s="127"/>
      <c r="K29" s="127"/>
    </row>
    <row r="30" spans="1:11" ht="15.95" customHeight="1">
      <c r="A30" s="152" t="s">
        <v>507</v>
      </c>
      <c r="B30" s="152" t="s">
        <v>199</v>
      </c>
      <c r="C30" s="151"/>
      <c r="D30" s="151"/>
      <c r="E30" s="151"/>
      <c r="F30" s="151"/>
      <c r="G30" s="151"/>
      <c r="H30" s="147" t="s">
        <v>877</v>
      </c>
      <c r="I30" s="127"/>
      <c r="J30" s="127"/>
      <c r="K30" s="127"/>
    </row>
    <row r="31" spans="1:11" ht="15.95" customHeight="1">
      <c r="A31" s="152" t="s">
        <v>869</v>
      </c>
      <c r="B31" s="152" t="s">
        <v>200</v>
      </c>
      <c r="C31" s="152" t="s">
        <v>202</v>
      </c>
      <c r="D31" s="152" t="s">
        <v>873</v>
      </c>
      <c r="E31" s="152" t="s">
        <v>265</v>
      </c>
      <c r="F31" s="151"/>
      <c r="G31" s="152" t="s">
        <v>271</v>
      </c>
      <c r="H31" s="147" t="s">
        <v>878</v>
      </c>
      <c r="I31" s="127"/>
      <c r="J31" s="127"/>
      <c r="K31" s="127"/>
    </row>
    <row r="32" spans="1:11" ht="15.95" customHeight="1">
      <c r="A32" s="152" t="s">
        <v>870</v>
      </c>
      <c r="B32" s="152" t="s">
        <v>200</v>
      </c>
      <c r="C32" s="152" t="s">
        <v>478</v>
      </c>
      <c r="D32" s="152" t="s">
        <v>874</v>
      </c>
      <c r="E32" s="152" t="s">
        <v>265</v>
      </c>
      <c r="F32" s="151"/>
      <c r="G32" s="152" t="s">
        <v>208</v>
      </c>
      <c r="H32" s="147" t="s">
        <v>879</v>
      </c>
      <c r="I32" s="127"/>
      <c r="J32" s="127"/>
      <c r="K32" s="127"/>
    </row>
    <row r="33" spans="1:11" ht="15.95" customHeight="1">
      <c r="A33" s="152" t="s">
        <v>871</v>
      </c>
      <c r="B33" s="152" t="s">
        <v>200</v>
      </c>
      <c r="C33" s="152" t="s">
        <v>301</v>
      </c>
      <c r="D33" s="152" t="s">
        <v>875</v>
      </c>
      <c r="E33" s="152" t="s">
        <v>265</v>
      </c>
      <c r="F33" s="151"/>
      <c r="G33" s="152" t="s">
        <v>208</v>
      </c>
      <c r="H33" s="147" t="s">
        <v>880</v>
      </c>
      <c r="I33" s="127"/>
      <c r="J33" s="127"/>
      <c r="K33" s="127"/>
    </row>
    <row r="34" spans="1:11" ht="15.95" customHeight="1">
      <c r="A34" s="152" t="s">
        <v>511</v>
      </c>
      <c r="B34" s="152" t="s">
        <v>199</v>
      </c>
      <c r="C34" s="151"/>
      <c r="D34" s="151"/>
      <c r="E34" s="152" t="s">
        <v>265</v>
      </c>
      <c r="F34" s="151"/>
      <c r="G34" s="152" t="s">
        <v>208</v>
      </c>
      <c r="H34" s="147" t="s">
        <v>881</v>
      </c>
      <c r="I34" s="127"/>
      <c r="J34" s="127"/>
      <c r="K34" s="127"/>
    </row>
    <row r="35" spans="1:11" ht="15.95" customHeight="1">
      <c r="A35" s="152" t="s">
        <v>872</v>
      </c>
      <c r="B35" s="151"/>
      <c r="C35" s="151"/>
      <c r="D35" s="151"/>
      <c r="E35" s="152" t="s">
        <v>265</v>
      </c>
      <c r="F35" s="151"/>
      <c r="G35" s="151"/>
      <c r="H35" s="147" t="s">
        <v>882</v>
      </c>
      <c r="I35" s="127"/>
      <c r="J35" s="127"/>
      <c r="K35" s="127"/>
    </row>
    <row r="36" spans="1:11" ht="15.95" customHeight="1">
      <c r="A36" s="151"/>
      <c r="B36" s="151"/>
      <c r="C36" s="151"/>
      <c r="D36" s="151"/>
      <c r="E36" s="151"/>
      <c r="F36" s="151"/>
      <c r="G36" s="151"/>
      <c r="H36" s="127"/>
      <c r="I36" s="127"/>
      <c r="J36" s="127"/>
      <c r="K36" s="127"/>
    </row>
    <row r="37" spans="1:11" ht="15.95" customHeight="1">
      <c r="A37" s="151" t="s">
        <v>883</v>
      </c>
      <c r="B37" s="151" t="s">
        <v>553</v>
      </c>
      <c r="C37" s="151" t="s">
        <v>823</v>
      </c>
      <c r="D37" s="151" t="s">
        <v>212</v>
      </c>
      <c r="E37" s="151" t="s">
        <v>313</v>
      </c>
      <c r="F37" s="151" t="s">
        <v>359</v>
      </c>
      <c r="G37" s="151" t="s">
        <v>887</v>
      </c>
      <c r="H37" s="127" t="s">
        <v>888</v>
      </c>
      <c r="I37" s="127"/>
      <c r="J37" s="127"/>
      <c r="K37" s="127"/>
    </row>
    <row r="38" spans="1:11" ht="15.95" customHeight="1">
      <c r="A38" s="151" t="s">
        <v>194</v>
      </c>
      <c r="B38" s="151" t="s">
        <v>186</v>
      </c>
      <c r="C38" s="151" t="s">
        <v>721</v>
      </c>
      <c r="D38" s="151" t="s">
        <v>885</v>
      </c>
      <c r="E38" s="151" t="s">
        <v>685</v>
      </c>
      <c r="F38" s="151"/>
      <c r="G38" s="151" t="s">
        <v>208</v>
      </c>
      <c r="H38" s="127" t="s">
        <v>889</v>
      </c>
      <c r="I38" s="127"/>
      <c r="J38" s="127"/>
      <c r="K38" s="127"/>
    </row>
    <row r="39" spans="1:11" ht="15.95" customHeight="1">
      <c r="A39" s="151" t="s">
        <v>815</v>
      </c>
      <c r="B39" s="151" t="s">
        <v>200</v>
      </c>
      <c r="C39" s="151" t="s">
        <v>478</v>
      </c>
      <c r="D39" s="151" t="s">
        <v>886</v>
      </c>
      <c r="E39" s="151" t="s">
        <v>313</v>
      </c>
      <c r="F39" s="151" t="s">
        <v>269</v>
      </c>
      <c r="G39" s="151" t="s">
        <v>208</v>
      </c>
      <c r="H39" s="127" t="s">
        <v>890</v>
      </c>
      <c r="I39" s="127"/>
      <c r="J39" s="127"/>
      <c r="K39" s="127"/>
    </row>
    <row r="40" spans="1:11" ht="15.95" customHeight="1">
      <c r="A40" s="151" t="s">
        <v>884</v>
      </c>
      <c r="B40" s="151"/>
      <c r="C40" s="151"/>
      <c r="D40" s="151"/>
      <c r="E40" s="151"/>
      <c r="F40" s="151"/>
      <c r="G40" s="151"/>
      <c r="H40" s="127" t="s">
        <v>891</v>
      </c>
      <c r="I40" s="127"/>
      <c r="J40" s="127"/>
      <c r="K40" s="127"/>
    </row>
    <row r="41" spans="1:11" ht="15.95" customHeight="1">
      <c r="A41" s="151"/>
      <c r="B41" s="151"/>
      <c r="C41" s="151"/>
      <c r="D41" s="151"/>
      <c r="E41" s="151"/>
      <c r="F41" s="151"/>
      <c r="G41" s="151"/>
      <c r="H41" s="127"/>
      <c r="I41" s="127"/>
      <c r="J41" s="127"/>
      <c r="K41" s="127"/>
    </row>
    <row r="42" spans="1:11" ht="15.95" customHeight="1">
      <c r="A42" s="151"/>
      <c r="B42" s="151"/>
      <c r="C42" s="151"/>
      <c r="D42" s="151"/>
      <c r="E42" s="151"/>
      <c r="F42" s="151"/>
      <c r="G42" s="151"/>
      <c r="H42" s="127"/>
      <c r="I42" s="127"/>
      <c r="J42" s="127"/>
      <c r="K42" s="127"/>
    </row>
    <row r="43" spans="1:11" ht="15.95" customHeight="1">
      <c r="A43" s="151"/>
      <c r="B43" s="151"/>
      <c r="C43" s="151"/>
      <c r="D43" s="151"/>
      <c r="E43" s="151"/>
      <c r="F43" s="151"/>
      <c r="G43" s="151"/>
      <c r="H43" s="127"/>
      <c r="I43" s="127"/>
      <c r="J43" s="127"/>
      <c r="K43" s="127"/>
    </row>
    <row r="44" spans="1:11" ht="15.95" customHeight="1">
      <c r="A44" s="151"/>
      <c r="B44" s="151"/>
      <c r="C44" s="151"/>
      <c r="D44" s="151"/>
      <c r="E44" s="151"/>
      <c r="F44" s="151"/>
      <c r="G44" s="151"/>
      <c r="H44" s="127"/>
      <c r="I44" s="127"/>
      <c r="J44" s="127"/>
      <c r="K44" s="127"/>
    </row>
    <row r="45" spans="1:11" ht="15.95" customHeight="1">
      <c r="A45" s="151"/>
      <c r="B45" s="151"/>
      <c r="C45" s="151"/>
      <c r="D45" s="151"/>
      <c r="E45" s="151"/>
      <c r="F45" s="151"/>
      <c r="G45" s="151"/>
      <c r="H45" s="127"/>
      <c r="I45" s="127"/>
      <c r="J45" s="127"/>
      <c r="K45" s="127"/>
    </row>
    <row r="46" spans="1:11" ht="15.95" customHeight="1">
      <c r="A46" s="151"/>
      <c r="B46" s="151"/>
      <c r="C46" s="151"/>
      <c r="D46" s="151"/>
      <c r="E46" s="151"/>
      <c r="F46" s="151"/>
      <c r="G46" s="151"/>
      <c r="H46" s="127"/>
      <c r="I46" s="127"/>
      <c r="J46" s="127"/>
      <c r="K46" s="127"/>
    </row>
    <row r="47" spans="1:11" ht="15.95" customHeight="1">
      <c r="A47" s="151"/>
      <c r="B47" s="151"/>
      <c r="C47" s="151"/>
      <c r="D47" s="151"/>
      <c r="E47" s="151"/>
      <c r="F47" s="151"/>
      <c r="G47" s="151"/>
      <c r="H47" s="127"/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/>
      <c r="D50" s="76" t="s">
        <v>107</v>
      </c>
      <c r="E50" s="42"/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F50" sqref="F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111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91</v>
      </c>
      <c r="B3" s="45"/>
      <c r="C3" s="45"/>
      <c r="D3" s="45"/>
      <c r="E3" s="45"/>
      <c r="F3" s="45"/>
      <c r="G3" s="51">
        <v>0.33333333333333331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30</v>
      </c>
      <c r="B4" s="91">
        <v>22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0.11458333333333333</v>
      </c>
      <c r="G4" s="46">
        <f>IF(I5="G","",IF(ISBLANK(A4),"",G3+H3+F4))</f>
        <v>0.44791666666666663</v>
      </c>
      <c r="H4" s="52"/>
      <c r="I4" s="43"/>
      <c r="J4" s="46" t="str">
        <f>IF(I5="G",K5-F5-H4,"")</f>
        <v/>
      </c>
      <c r="K4" s="46"/>
    </row>
    <row r="5" spans="1:11">
      <c r="A5" s="42"/>
      <c r="B5" s="48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1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22</v>
      </c>
      <c r="E8" s="67" t="s">
        <v>75</v>
      </c>
      <c r="F8" s="77">
        <f>SUM(F3:F7)</f>
        <v>0.11458333333333333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52" t="s">
        <v>894</v>
      </c>
      <c r="B29" s="152" t="s">
        <v>819</v>
      </c>
      <c r="C29" s="151"/>
      <c r="D29" s="151"/>
      <c r="E29" s="152" t="s">
        <v>313</v>
      </c>
      <c r="F29" s="152" t="s">
        <v>907</v>
      </c>
      <c r="G29" s="151"/>
      <c r="H29" s="147" t="s">
        <v>909</v>
      </c>
      <c r="I29" s="127"/>
      <c r="J29" s="127"/>
      <c r="K29" s="127"/>
    </row>
    <row r="30" spans="1:11" ht="15.95" customHeight="1">
      <c r="A30" s="152" t="s">
        <v>619</v>
      </c>
      <c r="B30" s="152" t="s">
        <v>186</v>
      </c>
      <c r="C30" s="152" t="s">
        <v>589</v>
      </c>
      <c r="D30" s="152" t="s">
        <v>308</v>
      </c>
      <c r="E30" s="152" t="s">
        <v>313</v>
      </c>
      <c r="F30" s="152" t="s">
        <v>907</v>
      </c>
      <c r="G30" s="152" t="s">
        <v>401</v>
      </c>
      <c r="H30" s="147" t="s">
        <v>910</v>
      </c>
      <c r="I30" s="127"/>
      <c r="J30" s="127"/>
      <c r="K30" s="127"/>
    </row>
    <row r="31" spans="1:11" ht="15.95" customHeight="1">
      <c r="A31" s="152" t="s">
        <v>895</v>
      </c>
      <c r="B31" s="152" t="s">
        <v>518</v>
      </c>
      <c r="C31" s="152" t="s">
        <v>258</v>
      </c>
      <c r="D31" s="152" t="s">
        <v>308</v>
      </c>
      <c r="E31" s="152" t="s">
        <v>313</v>
      </c>
      <c r="F31" s="152" t="s">
        <v>907</v>
      </c>
      <c r="G31" s="152" t="s">
        <v>212</v>
      </c>
      <c r="H31" s="147" t="s">
        <v>911</v>
      </c>
      <c r="I31" s="127"/>
      <c r="J31" s="127"/>
      <c r="K31" s="127"/>
    </row>
    <row r="32" spans="1:11" ht="15.95" customHeight="1">
      <c r="A32" s="152" t="s">
        <v>326</v>
      </c>
      <c r="B32" s="152" t="s">
        <v>200</v>
      </c>
      <c r="C32" s="152" t="s">
        <v>304</v>
      </c>
      <c r="D32" s="152" t="s">
        <v>308</v>
      </c>
      <c r="E32" s="152" t="s">
        <v>313</v>
      </c>
      <c r="F32" s="152" t="s">
        <v>907</v>
      </c>
      <c r="G32" s="152" t="s">
        <v>271</v>
      </c>
      <c r="H32" s="147" t="s">
        <v>912</v>
      </c>
      <c r="I32" s="127"/>
      <c r="J32" s="127"/>
      <c r="K32" s="127"/>
    </row>
    <row r="33" spans="1:11" ht="15.95" customHeight="1">
      <c r="A33" s="152" t="s">
        <v>896</v>
      </c>
      <c r="B33" s="152" t="s">
        <v>200</v>
      </c>
      <c r="C33" s="152" t="s">
        <v>203</v>
      </c>
      <c r="D33" s="152" t="s">
        <v>565</v>
      </c>
      <c r="E33" s="152" t="s">
        <v>355</v>
      </c>
      <c r="F33" s="152" t="s">
        <v>908</v>
      </c>
      <c r="G33" s="152" t="s">
        <v>208</v>
      </c>
      <c r="H33" s="147" t="s">
        <v>913</v>
      </c>
      <c r="I33" s="127"/>
      <c r="J33" s="127"/>
      <c r="K33" s="127"/>
    </row>
    <row r="34" spans="1:11" ht="15.95" customHeight="1">
      <c r="A34" s="152" t="s">
        <v>586</v>
      </c>
      <c r="B34" s="152" t="s">
        <v>200</v>
      </c>
      <c r="C34" s="152" t="s">
        <v>256</v>
      </c>
      <c r="D34" s="152" t="s">
        <v>902</v>
      </c>
      <c r="E34" s="152" t="s">
        <v>685</v>
      </c>
      <c r="F34" s="151"/>
      <c r="G34" s="152" t="s">
        <v>208</v>
      </c>
      <c r="H34" s="147" t="s">
        <v>914</v>
      </c>
      <c r="I34" s="127"/>
      <c r="J34" s="127"/>
      <c r="K34" s="127"/>
    </row>
    <row r="35" spans="1:11" ht="15.95" customHeight="1">
      <c r="A35" s="152" t="s">
        <v>897</v>
      </c>
      <c r="B35" s="152" t="s">
        <v>200</v>
      </c>
      <c r="C35" s="152" t="s">
        <v>341</v>
      </c>
      <c r="D35" s="152" t="s">
        <v>903</v>
      </c>
      <c r="E35" s="152" t="s">
        <v>265</v>
      </c>
      <c r="F35" s="151"/>
      <c r="G35" s="152" t="s">
        <v>208</v>
      </c>
      <c r="H35" s="147" t="s">
        <v>915</v>
      </c>
      <c r="I35" s="127"/>
      <c r="J35" s="127"/>
      <c r="K35" s="127"/>
    </row>
    <row r="36" spans="1:11" ht="15.95" customHeight="1">
      <c r="A36" s="152" t="s">
        <v>767</v>
      </c>
      <c r="B36" s="152" t="s">
        <v>200</v>
      </c>
      <c r="C36" s="152" t="s">
        <v>477</v>
      </c>
      <c r="D36" s="152" t="s">
        <v>565</v>
      </c>
      <c r="E36" s="152" t="s">
        <v>265</v>
      </c>
      <c r="F36" s="151"/>
      <c r="G36" s="152" t="s">
        <v>208</v>
      </c>
      <c r="H36" s="147" t="s">
        <v>916</v>
      </c>
      <c r="I36" s="127"/>
      <c r="J36" s="127"/>
      <c r="K36" s="127"/>
    </row>
    <row r="37" spans="1:11" ht="15.95" customHeight="1">
      <c r="A37" s="152" t="s">
        <v>250</v>
      </c>
      <c r="B37" s="151"/>
      <c r="C37" s="151"/>
      <c r="D37" s="151"/>
      <c r="E37" s="151"/>
      <c r="F37" s="151"/>
      <c r="G37" s="151"/>
      <c r="H37" s="147" t="s">
        <v>917</v>
      </c>
      <c r="I37" s="127"/>
      <c r="J37" s="127"/>
      <c r="K37" s="127"/>
    </row>
    <row r="38" spans="1:11" ht="15.95" customHeight="1">
      <c r="A38" s="152" t="s">
        <v>898</v>
      </c>
      <c r="B38" s="152" t="s">
        <v>200</v>
      </c>
      <c r="C38" s="152" t="s">
        <v>205</v>
      </c>
      <c r="D38" s="152" t="s">
        <v>904</v>
      </c>
      <c r="E38" s="152" t="s">
        <v>265</v>
      </c>
      <c r="F38" s="151"/>
      <c r="G38" s="152" t="s">
        <v>208</v>
      </c>
      <c r="H38" s="147" t="s">
        <v>918</v>
      </c>
      <c r="I38" s="127"/>
      <c r="J38" s="127"/>
      <c r="K38" s="127"/>
    </row>
    <row r="39" spans="1:11" ht="15.95" customHeight="1">
      <c r="A39" s="152" t="s">
        <v>901</v>
      </c>
      <c r="B39" s="152" t="s">
        <v>200</v>
      </c>
      <c r="C39" s="152" t="s">
        <v>478</v>
      </c>
      <c r="D39" s="152" t="s">
        <v>905</v>
      </c>
      <c r="E39" s="152" t="s">
        <v>265</v>
      </c>
      <c r="F39" s="151"/>
      <c r="G39" s="152" t="s">
        <v>208</v>
      </c>
      <c r="H39" s="147" t="s">
        <v>919</v>
      </c>
      <c r="I39" s="127"/>
      <c r="J39" s="127"/>
      <c r="K39" s="127"/>
    </row>
    <row r="40" spans="1:11" ht="15.95" customHeight="1">
      <c r="A40" s="152" t="s">
        <v>899</v>
      </c>
      <c r="B40" s="152" t="s">
        <v>200</v>
      </c>
      <c r="C40" s="152" t="s">
        <v>202</v>
      </c>
      <c r="D40" s="152" t="s">
        <v>906</v>
      </c>
      <c r="E40" s="152" t="s">
        <v>265</v>
      </c>
      <c r="F40" s="151"/>
      <c r="G40" s="152" t="s">
        <v>208</v>
      </c>
      <c r="H40" s="147" t="s">
        <v>920</v>
      </c>
      <c r="I40" s="127"/>
      <c r="J40" s="127"/>
      <c r="K40" s="127"/>
    </row>
    <row r="41" spans="1:11" ht="15.95" customHeight="1">
      <c r="A41" s="152" t="s">
        <v>900</v>
      </c>
      <c r="B41" s="151"/>
      <c r="C41" s="151"/>
      <c r="D41" s="151"/>
      <c r="E41" s="152" t="s">
        <v>265</v>
      </c>
      <c r="F41" s="151"/>
      <c r="G41" s="152" t="s">
        <v>208</v>
      </c>
      <c r="H41" s="147" t="s">
        <v>921</v>
      </c>
      <c r="I41" s="127"/>
      <c r="J41" s="127"/>
      <c r="K41" s="127"/>
    </row>
    <row r="42" spans="1:11" ht="15.95" customHeight="1">
      <c r="A42" s="151"/>
      <c r="B42" s="151"/>
      <c r="C42" s="151"/>
      <c r="D42" s="151"/>
      <c r="E42" s="151"/>
      <c r="F42" s="151"/>
      <c r="G42" s="151"/>
      <c r="H42" s="127"/>
      <c r="I42" s="127"/>
      <c r="J42" s="127"/>
      <c r="K42" s="127"/>
    </row>
    <row r="43" spans="1:11" ht="15.95" customHeight="1">
      <c r="A43" s="152" t="s">
        <v>926</v>
      </c>
      <c r="B43" s="152" t="s">
        <v>186</v>
      </c>
      <c r="C43" s="151"/>
      <c r="D43" s="151"/>
      <c r="E43" s="152" t="s">
        <v>930</v>
      </c>
      <c r="F43" s="152" t="s">
        <v>596</v>
      </c>
      <c r="G43" s="152" t="s">
        <v>931</v>
      </c>
      <c r="H43" s="147" t="s">
        <v>932</v>
      </c>
      <c r="I43" s="127"/>
      <c r="J43" s="127"/>
      <c r="K43" s="127"/>
    </row>
    <row r="44" spans="1:11" ht="15.95" customHeight="1">
      <c r="A44" s="152" t="s">
        <v>927</v>
      </c>
      <c r="B44" s="152" t="s">
        <v>200</v>
      </c>
      <c r="C44" s="152" t="s">
        <v>341</v>
      </c>
      <c r="D44" s="152" t="s">
        <v>726</v>
      </c>
      <c r="E44" s="152" t="s">
        <v>930</v>
      </c>
      <c r="F44" s="152" t="s">
        <v>268</v>
      </c>
      <c r="G44" s="152" t="s">
        <v>208</v>
      </c>
      <c r="H44" s="127"/>
      <c r="I44" s="127"/>
      <c r="J44" s="127"/>
      <c r="K44" s="127"/>
    </row>
    <row r="45" spans="1:11" ht="15.95" customHeight="1">
      <c r="A45" s="152" t="s">
        <v>928</v>
      </c>
      <c r="B45" s="152" t="s">
        <v>199</v>
      </c>
      <c r="C45" s="151"/>
      <c r="D45" s="151"/>
      <c r="E45" s="151"/>
      <c r="F45" s="151"/>
      <c r="G45" s="152" t="s">
        <v>208</v>
      </c>
      <c r="H45" s="147" t="s">
        <v>933</v>
      </c>
      <c r="I45" s="127"/>
      <c r="J45" s="127"/>
      <c r="K45" s="127"/>
    </row>
    <row r="46" spans="1:11" ht="15.95" customHeight="1">
      <c r="A46" s="152" t="s">
        <v>929</v>
      </c>
      <c r="B46" s="151"/>
      <c r="C46" s="151"/>
      <c r="D46" s="151"/>
      <c r="E46" s="151"/>
      <c r="F46" s="151"/>
      <c r="G46" s="151"/>
      <c r="H46" s="147" t="s">
        <v>934</v>
      </c>
      <c r="I46" s="127"/>
      <c r="J46" s="127"/>
      <c r="K46" s="127"/>
    </row>
    <row r="47" spans="1:11" ht="15.95" customHeight="1">
      <c r="A47" s="152" t="s">
        <v>936</v>
      </c>
      <c r="B47" s="151"/>
      <c r="C47" s="151"/>
      <c r="D47" s="151"/>
      <c r="E47" s="151"/>
      <c r="F47" s="151"/>
      <c r="G47" s="151"/>
      <c r="H47" s="147" t="s">
        <v>935</v>
      </c>
      <c r="I47" s="127"/>
      <c r="J47" s="127"/>
      <c r="K47" s="127"/>
    </row>
    <row r="48" spans="1:11" ht="15.95" customHeight="1">
      <c r="A48" s="151"/>
      <c r="B48" s="151"/>
      <c r="C48" s="151"/>
      <c r="D48" s="151"/>
      <c r="E48" s="151"/>
      <c r="F48" s="151"/>
      <c r="G48" s="151"/>
      <c r="H48" s="127"/>
      <c r="I48" s="127"/>
      <c r="J48" s="127"/>
      <c r="K48" s="127"/>
    </row>
    <row r="49" spans="1:9">
      <c r="B49" s="67" t="s">
        <v>922</v>
      </c>
      <c r="C49">
        <v>3336.3</v>
      </c>
      <c r="E49">
        <v>3338.5</v>
      </c>
    </row>
    <row r="50" spans="1:9">
      <c r="A50" s="1" t="s">
        <v>104</v>
      </c>
      <c r="B50" s="76" t="s">
        <v>106</v>
      </c>
      <c r="C50" s="42">
        <v>3337.5</v>
      </c>
      <c r="D50" s="76" t="s">
        <v>107</v>
      </c>
      <c r="E50" s="42">
        <v>3339.7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112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30</v>
      </c>
      <c r="B3" s="45"/>
      <c r="C3" s="45"/>
      <c r="D3" s="45"/>
      <c r="E3" s="45"/>
      <c r="F3" s="45"/>
      <c r="G3" s="51">
        <v>0.3125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30</v>
      </c>
      <c r="B4" s="48">
        <v>0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0</v>
      </c>
      <c r="G4" s="46">
        <f>IF(I5="G","",IF(ISBLANK(A4),"",G3+H3+F4))</f>
        <v>0.3125</v>
      </c>
      <c r="H4" s="52"/>
      <c r="I4" s="43"/>
      <c r="J4" s="46" t="str">
        <f>IF(I5="G",K5-F5-H4,"")</f>
        <v/>
      </c>
      <c r="K4" s="46"/>
    </row>
    <row r="5" spans="1:11">
      <c r="A5" s="83"/>
      <c r="B5" s="91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2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0</v>
      </c>
      <c r="E8" s="67" t="s">
        <v>75</v>
      </c>
      <c r="F8" s="77">
        <f>SUM(F3:F7)</f>
        <v>0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41"/>
      <c r="B29" s="41"/>
      <c r="C29" s="41"/>
      <c r="D29" s="41"/>
      <c r="E29" s="41"/>
      <c r="F29" s="41"/>
      <c r="G29" s="41"/>
      <c r="H29" s="127"/>
      <c r="I29" s="127"/>
      <c r="J29" s="127"/>
      <c r="K29" s="127"/>
    </row>
    <row r="30" spans="1:11" ht="15.95" customHeight="1">
      <c r="A30" s="41"/>
      <c r="B30" s="41"/>
      <c r="C30" s="41"/>
      <c r="D30" s="41"/>
      <c r="E30" s="41"/>
      <c r="F30" s="41"/>
      <c r="G30" s="41"/>
      <c r="H30" s="127"/>
      <c r="I30" s="127"/>
      <c r="J30" s="127"/>
      <c r="K30" s="127"/>
    </row>
    <row r="31" spans="1:11" ht="15.95" customHeight="1">
      <c r="A31" s="41"/>
      <c r="B31" s="41"/>
      <c r="C31" s="41"/>
      <c r="D31" s="41"/>
      <c r="E31" s="41"/>
      <c r="F31" s="41"/>
      <c r="G31" s="41"/>
      <c r="H31" s="127"/>
      <c r="I31" s="127"/>
      <c r="J31" s="127"/>
      <c r="K31" s="127"/>
    </row>
    <row r="32" spans="1:11" ht="15.95" customHeight="1">
      <c r="A32" s="41"/>
      <c r="B32" s="41"/>
      <c r="C32" s="41"/>
      <c r="D32" s="41"/>
      <c r="E32" s="41"/>
      <c r="F32" s="41"/>
      <c r="G32" s="41"/>
      <c r="H32" s="127"/>
      <c r="I32" s="127"/>
      <c r="J32" s="127"/>
      <c r="K32" s="127"/>
    </row>
    <row r="33" spans="1:11" ht="15.95" customHeight="1">
      <c r="A33" s="41"/>
      <c r="B33" s="41"/>
      <c r="C33" s="41"/>
      <c r="D33" s="41"/>
      <c r="E33" s="41"/>
      <c r="F33" s="41"/>
      <c r="G33" s="41"/>
      <c r="H33" s="127"/>
      <c r="I33" s="127"/>
      <c r="J33" s="127"/>
      <c r="K33" s="127"/>
    </row>
    <row r="34" spans="1:11" ht="15.95" customHeight="1">
      <c r="A34" s="41"/>
      <c r="B34" s="41"/>
      <c r="C34" s="41"/>
      <c r="D34" s="41"/>
      <c r="E34" s="41"/>
      <c r="F34" s="41"/>
      <c r="G34" s="41"/>
      <c r="H34" s="127"/>
      <c r="I34" s="127"/>
      <c r="J34" s="127"/>
      <c r="K34" s="127"/>
    </row>
    <row r="35" spans="1:11" ht="15.95" customHeight="1">
      <c r="A35" s="41"/>
      <c r="B35" s="41"/>
      <c r="C35" s="41"/>
      <c r="D35" s="41"/>
      <c r="E35" s="41"/>
      <c r="F35" s="41"/>
      <c r="G35" s="41"/>
      <c r="H35" s="127"/>
      <c r="I35" s="127"/>
      <c r="J35" s="127"/>
      <c r="K35" s="127"/>
    </row>
    <row r="36" spans="1:11" ht="15.95" customHeight="1">
      <c r="A36" s="41"/>
      <c r="B36" s="41"/>
      <c r="C36" s="41"/>
      <c r="D36" s="41"/>
      <c r="E36" s="41"/>
      <c r="F36" s="41"/>
      <c r="G36" s="41"/>
      <c r="H36" s="127"/>
      <c r="I36" s="127"/>
      <c r="J36" s="127"/>
      <c r="K36" s="127"/>
    </row>
    <row r="37" spans="1:11" ht="15.95" customHeight="1">
      <c r="A37" s="41"/>
      <c r="B37" s="41"/>
      <c r="C37" s="41"/>
      <c r="D37" s="41"/>
      <c r="E37" s="41"/>
      <c r="F37" s="41"/>
      <c r="G37" s="41"/>
      <c r="H37" s="127"/>
      <c r="I37" s="127"/>
      <c r="J37" s="127"/>
      <c r="K37" s="127"/>
    </row>
    <row r="38" spans="1:11" ht="15.95" customHeight="1">
      <c r="A38" s="41"/>
      <c r="B38" s="41"/>
      <c r="C38" s="41"/>
      <c r="D38" s="41"/>
      <c r="E38" s="41"/>
      <c r="F38" s="41"/>
      <c r="G38" s="41"/>
      <c r="H38" s="127"/>
      <c r="I38" s="127"/>
      <c r="J38" s="127"/>
      <c r="K38" s="127"/>
    </row>
    <row r="39" spans="1:11" ht="15.95" customHeight="1">
      <c r="A39" s="41"/>
      <c r="B39" s="41"/>
      <c r="C39" s="41"/>
      <c r="D39" s="41"/>
      <c r="E39" s="41"/>
      <c r="F39" s="41"/>
      <c r="G39" s="41"/>
      <c r="H39" s="127"/>
      <c r="I39" s="127"/>
      <c r="J39" s="127"/>
      <c r="K39" s="127"/>
    </row>
    <row r="40" spans="1:11" ht="15.95" customHeight="1">
      <c r="A40" s="41"/>
      <c r="B40" s="41"/>
      <c r="C40" s="41"/>
      <c r="D40" s="41"/>
      <c r="E40" s="41"/>
      <c r="F40" s="41"/>
      <c r="G40" s="41"/>
      <c r="H40" s="127"/>
      <c r="I40" s="127"/>
      <c r="J40" s="127"/>
      <c r="K40" s="127"/>
    </row>
    <row r="41" spans="1:11" ht="15.95" customHeight="1">
      <c r="A41" s="41"/>
      <c r="B41" s="41"/>
      <c r="C41" s="41"/>
      <c r="D41" s="41"/>
      <c r="E41" s="41"/>
      <c r="F41" s="41"/>
      <c r="G41" s="41"/>
      <c r="H41" s="127"/>
      <c r="I41" s="127"/>
      <c r="J41" s="127"/>
      <c r="K41" s="127"/>
    </row>
    <row r="42" spans="1:11" ht="15.95" customHeight="1">
      <c r="A42" s="41"/>
      <c r="B42" s="41"/>
      <c r="C42" s="41"/>
      <c r="D42" s="41"/>
      <c r="E42" s="41"/>
      <c r="F42" s="41"/>
      <c r="G42" s="41"/>
      <c r="H42" s="127"/>
      <c r="I42" s="127"/>
      <c r="J42" s="127"/>
      <c r="K42" s="127"/>
    </row>
    <row r="43" spans="1:11" ht="15.95" customHeight="1">
      <c r="A43" s="41"/>
      <c r="B43" s="41"/>
      <c r="C43" s="41"/>
      <c r="D43" s="41"/>
      <c r="E43" s="41"/>
      <c r="F43" s="41"/>
      <c r="G43" s="41"/>
      <c r="H43" s="127"/>
      <c r="I43" s="127"/>
      <c r="J43" s="127"/>
      <c r="K43" s="127"/>
    </row>
    <row r="44" spans="1:11" ht="15.95" customHeight="1">
      <c r="A44" s="41"/>
      <c r="B44" s="41"/>
      <c r="C44" s="41"/>
      <c r="D44" s="41"/>
      <c r="E44" s="41"/>
      <c r="F44" s="41"/>
      <c r="G44" s="41"/>
      <c r="H44" s="127"/>
      <c r="I44" s="127"/>
      <c r="J44" s="127"/>
      <c r="K44" s="127"/>
    </row>
    <row r="45" spans="1:11" ht="15.95" customHeight="1">
      <c r="A45" s="41"/>
      <c r="B45" s="41"/>
      <c r="C45" s="41"/>
      <c r="D45" s="41"/>
      <c r="E45" s="41"/>
      <c r="F45" s="41"/>
      <c r="G45" s="41"/>
      <c r="H45" s="127"/>
      <c r="I45" s="127"/>
      <c r="J45" s="127"/>
      <c r="K45" s="127"/>
    </row>
    <row r="46" spans="1:11" ht="15.95" customHeight="1">
      <c r="A46" s="41"/>
      <c r="B46" s="41"/>
      <c r="C46" s="41"/>
      <c r="D46" s="41"/>
      <c r="E46" s="41"/>
      <c r="F46" s="41"/>
      <c r="G46" s="41"/>
      <c r="H46" s="127"/>
      <c r="I46" s="127"/>
      <c r="J46" s="127"/>
      <c r="K46" s="127"/>
    </row>
    <row r="47" spans="1:11" ht="15.95" customHeight="1">
      <c r="A47" s="41"/>
      <c r="B47" s="41"/>
      <c r="C47" s="41"/>
      <c r="D47" s="41"/>
      <c r="E47" s="41"/>
      <c r="F47" s="41"/>
      <c r="G47" s="41"/>
      <c r="H47" s="127"/>
      <c r="I47" s="127"/>
      <c r="J47" s="127"/>
      <c r="K47" s="127"/>
    </row>
    <row r="48" spans="1:11" ht="15.95" customHeight="1">
      <c r="A48" s="41"/>
      <c r="B48" s="41"/>
      <c r="C48" s="41"/>
      <c r="D48" s="41"/>
      <c r="E48" s="41"/>
      <c r="F48" s="41"/>
      <c r="G48" s="41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/>
      <c r="D50" s="76" t="s">
        <v>107</v>
      </c>
      <c r="E50" s="42"/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5"/>
  <sheetViews>
    <sheetView workbookViewId="0"/>
  </sheetViews>
  <sheetFormatPr defaultRowHeight="12.75"/>
  <cols>
    <col min="1" max="1" width="13.28515625" customWidth="1"/>
    <col min="2" max="11" width="8.7109375" customWidth="1"/>
  </cols>
  <sheetData>
    <row r="1" spans="1:11" ht="15.75" thickBot="1">
      <c r="A1" s="37" t="s">
        <v>157</v>
      </c>
      <c r="C1" s="138"/>
      <c r="D1" s="139"/>
      <c r="E1" s="140"/>
      <c r="G1" s="14"/>
      <c r="J1" s="74"/>
    </row>
    <row r="2" spans="1:11">
      <c r="A2" s="136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>
      <c r="A3" s="75"/>
      <c r="B3" s="79"/>
      <c r="C3" s="79"/>
      <c r="D3" s="79"/>
      <c r="E3" s="79"/>
      <c r="F3" s="79"/>
      <c r="G3" s="123"/>
      <c r="H3" s="79"/>
      <c r="I3" s="79"/>
      <c r="J3" s="137"/>
      <c r="K3" s="79"/>
    </row>
    <row r="5" spans="1:11" s="125" customFormat="1">
      <c r="A5" s="125" t="s">
        <v>92</v>
      </c>
      <c r="B5" s="126" t="s">
        <v>31</v>
      </c>
      <c r="C5" s="126" t="s">
        <v>93</v>
      </c>
      <c r="D5" s="126" t="s">
        <v>94</v>
      </c>
      <c r="E5" s="126" t="s">
        <v>95</v>
      </c>
      <c r="F5" s="126" t="s">
        <v>96</v>
      </c>
      <c r="G5" s="126" t="s">
        <v>101</v>
      </c>
      <c r="H5" s="125" t="s">
        <v>102</v>
      </c>
    </row>
    <row r="6" spans="1:11" ht="15.95" customHeight="1">
      <c r="A6" s="41"/>
      <c r="B6" s="41"/>
      <c r="C6" s="41"/>
      <c r="D6" s="41"/>
      <c r="E6" s="41"/>
      <c r="F6" s="41"/>
      <c r="G6" s="41"/>
      <c r="H6" s="127"/>
      <c r="I6" s="127"/>
      <c r="J6" s="127"/>
      <c r="K6" s="127"/>
    </row>
    <row r="7" spans="1:11" ht="15.95" customHeight="1">
      <c r="A7" s="41"/>
      <c r="B7" s="41"/>
      <c r="C7" s="41"/>
      <c r="D7" s="41"/>
      <c r="E7" s="41"/>
      <c r="F7" s="41"/>
      <c r="G7" s="41"/>
      <c r="H7" s="127"/>
      <c r="I7" s="127"/>
      <c r="J7" s="127"/>
      <c r="K7" s="127"/>
    </row>
    <row r="8" spans="1:11" ht="15.95" customHeight="1">
      <c r="A8" s="41"/>
      <c r="B8" s="41"/>
      <c r="C8" s="41"/>
      <c r="D8" s="41"/>
      <c r="E8" s="41"/>
      <c r="F8" s="41"/>
      <c r="G8" s="41"/>
      <c r="H8" s="127"/>
      <c r="I8" s="127"/>
      <c r="J8" s="127"/>
      <c r="K8" s="127"/>
    </row>
    <row r="9" spans="1:11" ht="15.95" customHeight="1">
      <c r="A9" s="41"/>
      <c r="B9" s="41"/>
      <c r="C9" s="41"/>
      <c r="D9" s="41"/>
      <c r="E9" s="41"/>
      <c r="F9" s="41"/>
      <c r="G9" s="41"/>
      <c r="H9" s="127"/>
      <c r="I9" s="127"/>
      <c r="J9" s="127"/>
      <c r="K9" s="127"/>
    </row>
    <row r="10" spans="1:11" ht="15.95" customHeight="1">
      <c r="A10" s="41"/>
      <c r="B10" s="41"/>
      <c r="C10" s="41"/>
      <c r="D10" s="41"/>
      <c r="E10" s="41"/>
      <c r="F10" s="41"/>
      <c r="G10" s="41"/>
      <c r="H10" s="127"/>
      <c r="I10" s="127"/>
      <c r="J10" s="127"/>
      <c r="K10" s="127"/>
    </row>
    <row r="11" spans="1:11" ht="15.95" customHeight="1">
      <c r="A11" s="41"/>
      <c r="B11" s="41"/>
      <c r="C11" s="41"/>
      <c r="D11" s="41"/>
      <c r="E11" s="41"/>
      <c r="F11" s="41"/>
      <c r="G11" s="41"/>
      <c r="H11" s="127"/>
      <c r="I11" s="127"/>
      <c r="J11" s="127"/>
      <c r="K11" s="127"/>
    </row>
    <row r="12" spans="1:11" ht="15.95" customHeight="1">
      <c r="A12" s="41"/>
      <c r="B12" s="41"/>
      <c r="C12" s="41"/>
      <c r="D12" s="41"/>
      <c r="E12" s="41"/>
      <c r="F12" s="41"/>
      <c r="G12" s="41"/>
      <c r="H12" s="127"/>
      <c r="I12" s="127"/>
      <c r="J12" s="127"/>
      <c r="K12" s="127"/>
    </row>
    <row r="13" spans="1:11" ht="15.95" customHeight="1">
      <c r="A13" s="41"/>
      <c r="B13" s="41"/>
      <c r="C13" s="41"/>
      <c r="D13" s="41"/>
      <c r="E13" s="41"/>
      <c r="F13" s="41"/>
      <c r="G13" s="41"/>
      <c r="H13" s="127"/>
      <c r="I13" s="127"/>
      <c r="J13" s="127"/>
      <c r="K13" s="127"/>
    </row>
    <row r="14" spans="1:11" ht="15.95" customHeight="1">
      <c r="A14" s="41"/>
      <c r="B14" s="41"/>
      <c r="C14" s="41"/>
      <c r="D14" s="41"/>
      <c r="E14" s="41"/>
      <c r="F14" s="41"/>
      <c r="G14" s="41"/>
      <c r="H14" s="127"/>
      <c r="I14" s="127"/>
      <c r="J14" s="127"/>
      <c r="K14" s="127"/>
    </row>
    <row r="15" spans="1:11" ht="15.95" customHeight="1">
      <c r="A15" s="41"/>
      <c r="B15" s="41"/>
      <c r="C15" s="41"/>
      <c r="D15" s="41"/>
      <c r="E15" s="41"/>
      <c r="F15" s="41"/>
      <c r="G15" s="41"/>
      <c r="H15" s="127"/>
      <c r="I15" s="127"/>
      <c r="J15" s="127"/>
      <c r="K15" s="127"/>
    </row>
    <row r="16" spans="1:11" ht="15.95" customHeight="1">
      <c r="A16" s="41"/>
      <c r="B16" s="41"/>
      <c r="C16" s="41"/>
      <c r="D16" s="41"/>
      <c r="E16" s="41"/>
      <c r="F16" s="41"/>
      <c r="G16" s="41"/>
      <c r="H16" s="127"/>
      <c r="I16" s="127"/>
      <c r="J16" s="127"/>
      <c r="K16" s="127"/>
    </row>
    <row r="17" spans="1:11" ht="15.95" customHeight="1">
      <c r="A17" s="41"/>
      <c r="B17" s="41"/>
      <c r="C17" s="41"/>
      <c r="D17" s="41"/>
      <c r="E17" s="41"/>
      <c r="F17" s="41"/>
      <c r="G17" s="41"/>
      <c r="H17" s="127"/>
      <c r="I17" s="127"/>
      <c r="J17" s="127"/>
      <c r="K17" s="127"/>
    </row>
    <row r="18" spans="1:11" ht="15.95" customHeight="1">
      <c r="A18" s="41"/>
      <c r="B18" s="41"/>
      <c r="C18" s="41"/>
      <c r="D18" s="41"/>
      <c r="E18" s="41"/>
      <c r="F18" s="41"/>
      <c r="G18" s="41"/>
      <c r="H18" s="127"/>
      <c r="I18" s="127"/>
      <c r="J18" s="127"/>
      <c r="K18" s="127"/>
    </row>
    <row r="19" spans="1:11" ht="15.95" customHeight="1">
      <c r="A19" s="41"/>
      <c r="B19" s="41"/>
      <c r="C19" s="41"/>
      <c r="D19" s="41"/>
      <c r="E19" s="41"/>
      <c r="F19" s="41"/>
      <c r="G19" s="41"/>
      <c r="H19" s="127"/>
      <c r="I19" s="127"/>
      <c r="J19" s="127"/>
      <c r="K19" s="127"/>
    </row>
    <row r="20" spans="1:11" ht="15.95" customHeight="1">
      <c r="A20" s="41"/>
      <c r="B20" s="41"/>
      <c r="C20" s="41"/>
      <c r="D20" s="41"/>
      <c r="E20" s="41"/>
      <c r="F20" s="41"/>
      <c r="G20" s="41"/>
      <c r="H20" s="127"/>
      <c r="I20" s="127"/>
      <c r="J20" s="127"/>
      <c r="K20" s="127"/>
    </row>
    <row r="21" spans="1:11" ht="15.95" customHeight="1">
      <c r="A21" s="41"/>
      <c r="B21" s="41"/>
      <c r="C21" s="41"/>
      <c r="D21" s="41"/>
      <c r="E21" s="41"/>
      <c r="F21" s="41"/>
      <c r="G21" s="41"/>
      <c r="H21" s="127"/>
      <c r="I21" s="127"/>
      <c r="J21" s="127"/>
      <c r="K21" s="127"/>
    </row>
    <row r="22" spans="1:11" ht="15.95" customHeight="1">
      <c r="A22" s="41"/>
      <c r="B22" s="41"/>
      <c r="C22" s="41"/>
      <c r="D22" s="41"/>
      <c r="E22" s="41"/>
      <c r="F22" s="41"/>
      <c r="G22" s="41"/>
      <c r="H22" s="127"/>
      <c r="I22" s="127"/>
      <c r="J22" s="127"/>
      <c r="K22" s="127"/>
    </row>
    <row r="23" spans="1:11" ht="15.95" customHeight="1">
      <c r="A23" s="41"/>
      <c r="B23" s="41"/>
      <c r="C23" s="41"/>
      <c r="D23" s="41"/>
      <c r="E23" s="41"/>
      <c r="F23" s="41"/>
      <c r="G23" s="41"/>
      <c r="H23" s="127"/>
      <c r="I23" s="127"/>
      <c r="J23" s="127"/>
      <c r="K23" s="127"/>
    </row>
    <row r="24" spans="1:11" ht="15.95" customHeight="1">
      <c r="A24" s="41"/>
      <c r="B24" s="41"/>
      <c r="C24" s="41"/>
      <c r="D24" s="41"/>
      <c r="E24" s="41"/>
      <c r="F24" s="41"/>
      <c r="G24" s="41"/>
      <c r="H24" s="127"/>
      <c r="I24" s="127"/>
      <c r="J24" s="127"/>
      <c r="K24" s="127"/>
    </row>
    <row r="25" spans="1:11" ht="15.95" customHeight="1">
      <c r="A25" s="41"/>
      <c r="B25" s="41"/>
      <c r="C25" s="41"/>
      <c r="D25" s="41"/>
      <c r="E25" s="41"/>
      <c r="F25" s="41"/>
      <c r="G25" s="41"/>
      <c r="H25" s="127"/>
      <c r="I25" s="127"/>
      <c r="J25" s="127"/>
      <c r="K25" s="127"/>
    </row>
    <row r="26" spans="1:11" ht="15.95" customHeight="1">
      <c r="A26" s="41"/>
      <c r="B26" s="41"/>
      <c r="C26" s="41"/>
      <c r="D26" s="41"/>
      <c r="E26" s="41"/>
      <c r="F26" s="41"/>
      <c r="G26" s="41"/>
      <c r="H26" s="127"/>
      <c r="I26" s="127"/>
      <c r="J26" s="127"/>
      <c r="K26" s="127"/>
    </row>
    <row r="27" spans="1:11" ht="15.95" customHeight="1">
      <c r="A27" s="41"/>
      <c r="B27" s="41"/>
      <c r="C27" s="41"/>
      <c r="D27" s="41"/>
      <c r="E27" s="41"/>
      <c r="F27" s="41"/>
      <c r="G27" s="41"/>
      <c r="H27" s="127"/>
      <c r="I27" s="127"/>
      <c r="J27" s="127"/>
      <c r="K27" s="127"/>
    </row>
    <row r="28" spans="1:11" ht="15.95" customHeight="1">
      <c r="A28" s="41"/>
      <c r="B28" s="41"/>
      <c r="C28" s="41"/>
      <c r="D28" s="41"/>
      <c r="E28" s="41"/>
      <c r="F28" s="41"/>
      <c r="G28" s="41"/>
      <c r="H28" s="127"/>
      <c r="I28" s="127"/>
      <c r="J28" s="127"/>
      <c r="K28" s="127"/>
    </row>
    <row r="29" spans="1:11" ht="15.95" customHeight="1">
      <c r="A29" s="41"/>
      <c r="B29" s="41"/>
      <c r="C29" s="41"/>
      <c r="D29" s="41"/>
      <c r="E29" s="41"/>
      <c r="F29" s="41"/>
      <c r="G29" s="41"/>
      <c r="H29" s="127"/>
      <c r="I29" s="127"/>
      <c r="J29" s="127"/>
      <c r="K29" s="127"/>
    </row>
    <row r="30" spans="1:11" ht="15.95" customHeight="1">
      <c r="A30" s="41"/>
      <c r="B30" s="41"/>
      <c r="C30" s="41"/>
      <c r="D30" s="41"/>
      <c r="E30" s="41"/>
      <c r="F30" s="41"/>
      <c r="G30" s="41"/>
      <c r="H30" s="127"/>
      <c r="I30" s="127"/>
      <c r="J30" s="127"/>
      <c r="K30" s="127"/>
    </row>
    <row r="31" spans="1:11" ht="15.95" customHeight="1">
      <c r="A31" s="41"/>
      <c r="B31" s="41"/>
      <c r="C31" s="41"/>
      <c r="D31" s="41"/>
      <c r="E31" s="41"/>
      <c r="F31" s="41"/>
      <c r="G31" s="41"/>
      <c r="H31" s="127"/>
      <c r="I31" s="127"/>
      <c r="J31" s="127"/>
      <c r="K31" s="127"/>
    </row>
    <row r="32" spans="1:11" ht="15.95" customHeight="1">
      <c r="A32" s="41"/>
      <c r="B32" s="41"/>
      <c r="C32" s="41"/>
      <c r="D32" s="41"/>
      <c r="E32" s="41"/>
      <c r="F32" s="41"/>
      <c r="G32" s="41"/>
      <c r="H32" s="127"/>
      <c r="I32" s="127"/>
      <c r="J32" s="127"/>
      <c r="K32" s="127"/>
    </row>
    <row r="33" spans="1:11" ht="15.95" customHeight="1">
      <c r="A33" s="41"/>
      <c r="B33" s="41"/>
      <c r="C33" s="41"/>
      <c r="D33" s="41"/>
      <c r="E33" s="41"/>
      <c r="F33" s="41"/>
      <c r="G33" s="41"/>
      <c r="H33" s="127"/>
      <c r="I33" s="127"/>
      <c r="J33" s="127"/>
      <c r="K33" s="127"/>
    </row>
    <row r="34" spans="1:11" ht="15.95" customHeight="1">
      <c r="A34" s="41"/>
      <c r="B34" s="41"/>
      <c r="C34" s="41"/>
      <c r="D34" s="41"/>
      <c r="E34" s="41"/>
      <c r="F34" s="41"/>
      <c r="G34" s="41"/>
      <c r="H34" s="127"/>
      <c r="I34" s="127"/>
      <c r="J34" s="127"/>
      <c r="K34" s="127"/>
    </row>
    <row r="35" spans="1:11" ht="15.95" customHeight="1">
      <c r="A35" s="41"/>
      <c r="B35" s="41"/>
      <c r="C35" s="41"/>
      <c r="D35" s="41"/>
      <c r="E35" s="41"/>
      <c r="F35" s="41"/>
      <c r="G35" s="41"/>
      <c r="H35" s="127"/>
      <c r="I35" s="127"/>
      <c r="J35" s="127"/>
      <c r="K35" s="127"/>
    </row>
    <row r="36" spans="1:11" ht="15.95" customHeight="1">
      <c r="A36" s="41"/>
      <c r="B36" s="41"/>
      <c r="C36" s="41"/>
      <c r="D36" s="41"/>
      <c r="E36" s="41"/>
      <c r="F36" s="41"/>
      <c r="G36" s="41"/>
      <c r="H36" s="127"/>
      <c r="I36" s="127"/>
      <c r="J36" s="127"/>
      <c r="K36" s="127"/>
    </row>
    <row r="37" spans="1:11" ht="15.95" customHeight="1">
      <c r="A37" s="41"/>
      <c r="B37" s="41"/>
      <c r="C37" s="41"/>
      <c r="D37" s="41"/>
      <c r="E37" s="41"/>
      <c r="F37" s="41"/>
      <c r="G37" s="41"/>
      <c r="H37" s="127"/>
      <c r="I37" s="127"/>
      <c r="J37" s="127"/>
      <c r="K37" s="127"/>
    </row>
    <row r="38" spans="1:11" ht="15.95" customHeight="1">
      <c r="A38" s="41"/>
      <c r="B38" s="41"/>
      <c r="C38" s="41"/>
      <c r="D38" s="41"/>
      <c r="E38" s="41"/>
      <c r="F38" s="41"/>
      <c r="G38" s="41"/>
      <c r="H38" s="127"/>
      <c r="I38" s="127"/>
      <c r="J38" s="127"/>
      <c r="K38" s="127"/>
    </row>
    <row r="39" spans="1:11" ht="15.95" customHeight="1">
      <c r="A39" s="41"/>
      <c r="B39" s="41"/>
      <c r="C39" s="41"/>
      <c r="D39" s="41"/>
      <c r="E39" s="41"/>
      <c r="F39" s="41"/>
      <c r="G39" s="41"/>
      <c r="H39" s="127"/>
      <c r="I39" s="127"/>
      <c r="J39" s="127"/>
      <c r="K39" s="127"/>
    </row>
    <row r="40" spans="1:11" ht="15.95" customHeight="1">
      <c r="A40" s="41"/>
      <c r="B40" s="41"/>
      <c r="C40" s="41"/>
      <c r="D40" s="41"/>
      <c r="E40" s="41"/>
      <c r="F40" s="41"/>
      <c r="G40" s="41"/>
      <c r="H40" s="127"/>
      <c r="I40" s="127"/>
      <c r="J40" s="127"/>
      <c r="K40" s="127"/>
    </row>
    <row r="41" spans="1:11" ht="15.95" customHeight="1">
      <c r="A41" s="41"/>
      <c r="B41" s="41"/>
      <c r="C41" s="41"/>
      <c r="D41" s="41"/>
      <c r="E41" s="41"/>
      <c r="F41" s="41"/>
      <c r="G41" s="41"/>
      <c r="H41" s="127"/>
      <c r="I41" s="127"/>
      <c r="J41" s="127"/>
      <c r="K41" s="127"/>
    </row>
    <row r="42" spans="1:11" ht="15.95" customHeight="1">
      <c r="A42" s="41"/>
      <c r="B42" s="41"/>
      <c r="C42" s="41"/>
      <c r="D42" s="41"/>
      <c r="E42" s="41"/>
      <c r="F42" s="41"/>
      <c r="G42" s="41"/>
      <c r="H42" s="127"/>
      <c r="I42" s="127"/>
      <c r="J42" s="127"/>
      <c r="K42" s="127"/>
    </row>
    <row r="44" spans="1:11">
      <c r="A44" s="1" t="s">
        <v>104</v>
      </c>
      <c r="B44" s="76" t="s">
        <v>106</v>
      </c>
      <c r="C44" s="42"/>
      <c r="D44" s="76" t="s">
        <v>107</v>
      </c>
      <c r="E44" s="42"/>
      <c r="F44" s="16"/>
      <c r="G44" s="36"/>
      <c r="H44" s="131" t="s">
        <v>108</v>
      </c>
      <c r="I44" s="41"/>
    </row>
    <row r="45" spans="1:11">
      <c r="A45" s="1" t="s">
        <v>97</v>
      </c>
      <c r="B45" s="1" t="s">
        <v>103</v>
      </c>
      <c r="C45" s="38"/>
      <c r="D45" s="1" t="s">
        <v>98</v>
      </c>
      <c r="E45" s="38"/>
      <c r="F45" s="1" t="s">
        <v>99</v>
      </c>
      <c r="G45" s="38"/>
      <c r="H45" s="1" t="s">
        <v>100</v>
      </c>
      <c r="I45" s="41"/>
    </row>
  </sheetData>
  <printOptions horizontalCentered="1"/>
  <pageMargins left="0.2" right="0.2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opLeftCell="A28" workbookViewId="0">
      <selection activeCell="E50" sqref="E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113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40" t="s">
        <v>30</v>
      </c>
      <c r="B3" s="45"/>
      <c r="C3" s="45"/>
      <c r="D3" s="45"/>
      <c r="E3" s="45"/>
      <c r="F3" s="45"/>
      <c r="G3" s="51">
        <v>0.5</v>
      </c>
      <c r="H3" s="45"/>
      <c r="I3" s="45"/>
      <c r="J3" s="46" t="str">
        <f>IF(I5="G",IF(ISBLANK(A4),J4,J4-F4),"")</f>
        <v/>
      </c>
      <c r="K3" s="45"/>
    </row>
    <row r="4" spans="1:11">
      <c r="A4" s="42" t="s">
        <v>129</v>
      </c>
      <c r="B4" s="48">
        <v>16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8.3333333333333329E-2</v>
      </c>
      <c r="G4" s="46">
        <f>IF(I5="G","",IF(ISBLANK(A4),"",G3+H3+F4))</f>
        <v>0.58333333333333337</v>
      </c>
      <c r="H4" s="52"/>
      <c r="I4" s="43"/>
      <c r="J4" s="46" t="str">
        <f>IF(I5="G",K5-F5-H4,"")</f>
        <v/>
      </c>
      <c r="K4" s="46"/>
    </row>
    <row r="5" spans="1:11">
      <c r="A5" s="42"/>
      <c r="B5" s="72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48"/>
      <c r="J5" s="73" t="str">
        <f>IF(I5="G",K5,"")</f>
        <v/>
      </c>
      <c r="K5" s="52"/>
    </row>
    <row r="6" spans="1:11">
      <c r="A6" s="42"/>
      <c r="B6" s="72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2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16</v>
      </c>
      <c r="E8" s="67" t="s">
        <v>75</v>
      </c>
      <c r="F8" s="77">
        <f>SUM(F3:F7)</f>
        <v>8.3333333333333329E-2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 t="s">
        <v>182</v>
      </c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7" spans="1:11">
      <c r="G27" s="14" t="s">
        <v>10</v>
      </c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45"/>
      <c r="B29" s="146"/>
      <c r="C29" s="146"/>
      <c r="D29" s="146"/>
      <c r="E29" s="146"/>
      <c r="F29" s="146"/>
      <c r="G29" s="146"/>
      <c r="H29" s="147" t="s">
        <v>220</v>
      </c>
      <c r="I29" s="127"/>
      <c r="J29" s="127"/>
      <c r="K29" s="127"/>
    </row>
    <row r="30" spans="1:11" ht="15.95" customHeight="1">
      <c r="A30" s="145"/>
      <c r="B30" s="146"/>
      <c r="C30" s="146"/>
      <c r="D30" s="146"/>
      <c r="E30" s="145"/>
      <c r="F30" s="146"/>
      <c r="G30" s="146"/>
      <c r="H30" s="147" t="s">
        <v>221</v>
      </c>
      <c r="I30" s="127"/>
      <c r="J30" s="127"/>
      <c r="K30" s="127"/>
    </row>
    <row r="31" spans="1:11" ht="15.95" customHeight="1">
      <c r="A31" s="145" t="s">
        <v>183</v>
      </c>
      <c r="B31" s="146"/>
      <c r="C31" s="146"/>
      <c r="D31" s="146"/>
      <c r="E31" s="146"/>
      <c r="F31" s="146"/>
      <c r="G31" s="146"/>
      <c r="H31" s="147" t="s">
        <v>222</v>
      </c>
      <c r="I31" s="127"/>
      <c r="J31" s="127"/>
      <c r="K31" s="127"/>
    </row>
    <row r="32" spans="1:11" ht="15.95" customHeight="1">
      <c r="A32" s="145" t="s">
        <v>184</v>
      </c>
      <c r="B32" s="146"/>
      <c r="C32" s="146"/>
      <c r="D32" s="146"/>
      <c r="E32" s="145"/>
      <c r="F32" s="146"/>
      <c r="G32" s="146"/>
      <c r="H32" s="147" t="s">
        <v>223</v>
      </c>
      <c r="I32" s="127"/>
      <c r="J32" s="127"/>
      <c r="K32" s="127"/>
    </row>
    <row r="33" spans="1:11" ht="15.95" customHeight="1">
      <c r="A33" s="145" t="s">
        <v>185</v>
      </c>
      <c r="B33" s="145" t="s">
        <v>198</v>
      </c>
      <c r="C33" s="145" t="s">
        <v>201</v>
      </c>
      <c r="D33" s="145" t="s">
        <v>206</v>
      </c>
      <c r="E33" s="145" t="s">
        <v>211</v>
      </c>
      <c r="F33" s="145" t="s">
        <v>214</v>
      </c>
      <c r="G33" s="145" t="s">
        <v>208</v>
      </c>
      <c r="H33" s="147" t="s">
        <v>224</v>
      </c>
      <c r="I33" s="127"/>
      <c r="J33" s="127"/>
      <c r="K33" s="127"/>
    </row>
    <row r="34" spans="1:11" ht="15.95" customHeight="1">
      <c r="A34" s="145" t="s">
        <v>186</v>
      </c>
      <c r="B34" s="145" t="s">
        <v>198</v>
      </c>
      <c r="C34" s="145" t="s">
        <v>202</v>
      </c>
      <c r="D34" s="145" t="s">
        <v>206</v>
      </c>
      <c r="E34" s="145" t="s">
        <v>212</v>
      </c>
      <c r="F34" s="145" t="s">
        <v>215</v>
      </c>
      <c r="G34" s="145" t="s">
        <v>208</v>
      </c>
      <c r="H34" s="147" t="s">
        <v>225</v>
      </c>
      <c r="I34" s="127"/>
      <c r="J34" s="127"/>
      <c r="K34" s="127"/>
    </row>
    <row r="35" spans="1:11" ht="15.95" customHeight="1">
      <c r="A35" s="145" t="s">
        <v>187</v>
      </c>
      <c r="B35" s="145" t="s">
        <v>198</v>
      </c>
      <c r="C35" s="145" t="s">
        <v>203</v>
      </c>
      <c r="D35" s="145" t="s">
        <v>207</v>
      </c>
      <c r="E35" s="145" t="s">
        <v>212</v>
      </c>
      <c r="F35" s="145" t="s">
        <v>216</v>
      </c>
      <c r="G35" s="145" t="s">
        <v>208</v>
      </c>
      <c r="H35" s="147" t="s">
        <v>226</v>
      </c>
      <c r="I35" s="127"/>
      <c r="J35" s="127"/>
      <c r="K35" s="127"/>
    </row>
    <row r="36" spans="1:11" ht="15.95" customHeight="1">
      <c r="A36" s="145" t="s">
        <v>188</v>
      </c>
      <c r="B36" s="145" t="s">
        <v>199</v>
      </c>
      <c r="C36" s="146"/>
      <c r="D36" s="146"/>
      <c r="E36" s="146"/>
      <c r="F36" s="146"/>
      <c r="G36" s="146"/>
      <c r="H36" s="147" t="s">
        <v>227</v>
      </c>
      <c r="I36" s="127"/>
      <c r="J36" s="127"/>
      <c r="K36" s="127"/>
    </row>
    <row r="37" spans="1:11" ht="15.95" customHeight="1">
      <c r="A37" s="145" t="s">
        <v>189</v>
      </c>
      <c r="B37" s="145" t="s">
        <v>199</v>
      </c>
      <c r="C37" s="145" t="s">
        <v>204</v>
      </c>
      <c r="D37" s="146"/>
      <c r="E37" s="146"/>
      <c r="F37" s="146"/>
      <c r="G37" s="146"/>
      <c r="H37" s="147" t="s">
        <v>228</v>
      </c>
      <c r="I37" s="127"/>
      <c r="J37" s="127"/>
      <c r="K37" s="127"/>
    </row>
    <row r="38" spans="1:11" ht="15.95" customHeight="1">
      <c r="A38" s="145" t="s">
        <v>190</v>
      </c>
      <c r="B38" s="145" t="s">
        <v>200</v>
      </c>
      <c r="C38" s="145" t="s">
        <v>205</v>
      </c>
      <c r="D38" s="145" t="s">
        <v>208</v>
      </c>
      <c r="E38" s="145" t="s">
        <v>208</v>
      </c>
      <c r="F38" s="145" t="s">
        <v>217</v>
      </c>
      <c r="G38" s="146"/>
      <c r="H38" s="147" t="s">
        <v>229</v>
      </c>
      <c r="I38" s="127"/>
      <c r="J38" s="127"/>
      <c r="K38" s="127"/>
    </row>
    <row r="39" spans="1:11" ht="15.95" customHeight="1">
      <c r="A39" s="145" t="s">
        <v>191</v>
      </c>
      <c r="B39" s="145" t="s">
        <v>200</v>
      </c>
      <c r="C39" s="145" t="s">
        <v>205</v>
      </c>
      <c r="D39" s="145" t="s">
        <v>209</v>
      </c>
      <c r="E39" s="145" t="s">
        <v>208</v>
      </c>
      <c r="F39" s="145" t="s">
        <v>218</v>
      </c>
      <c r="G39" s="145" t="s">
        <v>208</v>
      </c>
      <c r="H39" s="147" t="s">
        <v>230</v>
      </c>
      <c r="I39" s="127"/>
      <c r="J39" s="127"/>
      <c r="K39" s="127"/>
    </row>
    <row r="40" spans="1:11" ht="15.95" customHeight="1">
      <c r="A40" s="145" t="s">
        <v>192</v>
      </c>
      <c r="B40" s="145" t="s">
        <v>200</v>
      </c>
      <c r="C40" s="146"/>
      <c r="D40" s="146"/>
      <c r="E40" s="146"/>
      <c r="F40" s="146"/>
      <c r="G40" s="146"/>
      <c r="H40" s="147" t="s">
        <v>231</v>
      </c>
      <c r="I40" s="127"/>
      <c r="J40" s="127"/>
      <c r="K40" s="127"/>
    </row>
    <row r="41" spans="1:11" ht="15.95" customHeight="1">
      <c r="A41" s="145" t="s">
        <v>193</v>
      </c>
      <c r="B41" s="146"/>
      <c r="C41" s="146"/>
      <c r="D41" s="146"/>
      <c r="E41" s="146"/>
      <c r="F41" s="146"/>
      <c r="G41" s="146"/>
      <c r="H41" s="147" t="s">
        <v>232</v>
      </c>
      <c r="I41" s="127"/>
      <c r="J41" s="127"/>
      <c r="K41" s="127"/>
    </row>
    <row r="42" spans="1:11" ht="15.95" customHeight="1">
      <c r="A42" s="145" t="s">
        <v>194</v>
      </c>
      <c r="B42" s="146"/>
      <c r="C42" s="146"/>
      <c r="D42" s="146"/>
      <c r="E42" s="146"/>
      <c r="F42" s="146"/>
      <c r="G42" s="146"/>
      <c r="H42" s="147" t="s">
        <v>233</v>
      </c>
      <c r="I42" s="127"/>
      <c r="J42" s="127"/>
      <c r="K42" s="127"/>
    </row>
    <row r="43" spans="1:11" ht="15.95" customHeight="1">
      <c r="A43" s="145" t="s">
        <v>195</v>
      </c>
      <c r="B43" s="145" t="s">
        <v>200</v>
      </c>
      <c r="C43" s="145" t="s">
        <v>201</v>
      </c>
      <c r="D43" s="145" t="s">
        <v>210</v>
      </c>
      <c r="E43" s="145" t="s">
        <v>213</v>
      </c>
      <c r="F43" s="145" t="s">
        <v>219</v>
      </c>
      <c r="G43" s="146"/>
      <c r="H43" s="147" t="s">
        <v>234</v>
      </c>
      <c r="I43" s="127"/>
      <c r="J43" s="127"/>
      <c r="K43" s="127"/>
    </row>
    <row r="44" spans="1:11" ht="15.95" customHeight="1">
      <c r="A44" s="145" t="s">
        <v>196</v>
      </c>
      <c r="B44" s="145" t="s">
        <v>199</v>
      </c>
      <c r="C44" s="146"/>
      <c r="D44" s="146"/>
      <c r="E44" s="146"/>
      <c r="F44" s="146"/>
      <c r="G44" s="146"/>
      <c r="H44" s="147" t="s">
        <v>232</v>
      </c>
      <c r="I44" s="127"/>
      <c r="J44" s="127"/>
      <c r="K44" s="127"/>
    </row>
    <row r="45" spans="1:11" ht="15.95" customHeight="1">
      <c r="A45" s="145" t="s">
        <v>197</v>
      </c>
      <c r="B45" s="146"/>
      <c r="C45" s="146"/>
      <c r="D45" s="146"/>
      <c r="E45" s="146"/>
      <c r="F45" s="146"/>
      <c r="G45" s="146"/>
      <c r="H45" s="147" t="s">
        <v>235</v>
      </c>
      <c r="I45" s="127"/>
      <c r="J45" s="127"/>
      <c r="K45" s="127"/>
    </row>
    <row r="46" spans="1:11" ht="15.95" customHeight="1">
      <c r="A46" s="146"/>
      <c r="B46" s="146"/>
      <c r="C46" s="146"/>
      <c r="D46" s="146"/>
      <c r="E46" s="146"/>
      <c r="F46" s="146"/>
      <c r="G46" s="146"/>
      <c r="H46" s="127"/>
      <c r="I46" s="127"/>
      <c r="J46" s="127"/>
      <c r="K46" s="127"/>
    </row>
    <row r="47" spans="1:11" ht="15.95" customHeight="1">
      <c r="A47" s="146"/>
      <c r="B47" s="146"/>
      <c r="C47" s="146"/>
      <c r="D47" s="146"/>
      <c r="E47" s="146"/>
      <c r="F47" s="146"/>
      <c r="G47" s="146"/>
      <c r="H47" s="147" t="s">
        <v>236</v>
      </c>
      <c r="I47" s="127"/>
      <c r="J47" s="127"/>
      <c r="K47" s="127"/>
    </row>
    <row r="48" spans="1:11" ht="15.95" customHeight="1">
      <c r="A48" s="146"/>
      <c r="B48" s="146"/>
      <c r="C48" s="146"/>
      <c r="D48" s="146"/>
      <c r="E48" s="146"/>
      <c r="F48" s="146"/>
      <c r="G48" s="146"/>
      <c r="H48" s="127"/>
      <c r="I48" s="127"/>
      <c r="J48" s="127"/>
      <c r="K48" s="127"/>
    </row>
    <row r="49" spans="1:9">
      <c r="A49" s="14"/>
      <c r="B49" s="67" t="s">
        <v>237</v>
      </c>
      <c r="C49">
        <v>3251.6</v>
      </c>
      <c r="E49">
        <v>3253.8</v>
      </c>
    </row>
    <row r="50" spans="1:9">
      <c r="A50" s="1" t="s">
        <v>104</v>
      </c>
      <c r="B50" s="76" t="s">
        <v>106</v>
      </c>
      <c r="C50" s="42">
        <v>3255.8</v>
      </c>
      <c r="D50" s="76" t="s">
        <v>107</v>
      </c>
      <c r="E50" s="42">
        <v>3258.8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5" header="0.25" footer="0.25"/>
  <pageSetup orientation="portrait" horizontalDpi="0" verticalDpi="0" r:id="rId1"/>
  <headerFooter>
    <oddHeader>&amp;CJavelin/Zaya Puget Sound Cruise 8/14 - 9/3/21</oddHead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topLeftCell="A28" workbookViewId="0">
      <selection activeCell="E50" sqref="E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114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42" t="s">
        <v>129</v>
      </c>
      <c r="B3" s="45"/>
      <c r="C3" s="45"/>
      <c r="D3" s="45"/>
      <c r="E3" s="45"/>
      <c r="F3" s="45"/>
      <c r="G3" s="51"/>
      <c r="H3" s="45"/>
      <c r="I3" s="45"/>
      <c r="J3" s="46">
        <f>IF(I5="G",IF(ISBLANK(A4),J4,J4-F4),"")</f>
        <v>0.35902777777777772</v>
      </c>
      <c r="K3" s="45"/>
    </row>
    <row r="4" spans="1:11">
      <c r="A4" s="15"/>
      <c r="B4" s="48"/>
      <c r="C4" s="48" t="str">
        <f>IF(ISBLANK(A4),"",Plan_Speed)</f>
        <v/>
      </c>
      <c r="D4" s="48"/>
      <c r="E4" s="43" t="str">
        <f>IF(ISBLANK(A4),"",C4+D4)</f>
        <v/>
      </c>
      <c r="F4" s="44" t="str">
        <f>IF(ISBLANK(A4),"",(B4/E4)/24)</f>
        <v/>
      </c>
      <c r="G4" s="46" t="str">
        <f>IF(I5="G","",IF(ISBLANK(A4),"",G3+H3+F4))</f>
        <v/>
      </c>
      <c r="H4" s="52"/>
      <c r="I4" s="43"/>
      <c r="J4" s="46">
        <f>IF(I5="G",K5-F5-H4,"")</f>
        <v>0.35902777777777772</v>
      </c>
      <c r="K4" s="46"/>
    </row>
    <row r="5" spans="1:11">
      <c r="A5" s="15" t="s">
        <v>144</v>
      </c>
      <c r="B5" s="48">
        <v>28</v>
      </c>
      <c r="C5" s="48">
        <f>IF(ISBLANK(A5),"",Plan_Speed)</f>
        <v>8</v>
      </c>
      <c r="D5" s="48"/>
      <c r="E5" s="43">
        <f>IF(ISBLANK(A5),"",C5+D5)</f>
        <v>8</v>
      </c>
      <c r="F5" s="44">
        <f>IF(ISBLANK(A5),"",(B5/E5)/24)</f>
        <v>0.14583333333333334</v>
      </c>
      <c r="G5" s="46" t="str">
        <f>IF(I5="G","",IF(ISBLANK(A5),"",G4+H4+F5))</f>
        <v/>
      </c>
      <c r="H5" s="52"/>
      <c r="I5" s="72" t="s">
        <v>53</v>
      </c>
      <c r="J5" s="73">
        <f>IF(I5="G",K5,"")</f>
        <v>0.50486111111111109</v>
      </c>
      <c r="K5" s="52">
        <v>0.50486111111111109</v>
      </c>
    </row>
    <row r="6" spans="1:11">
      <c r="A6" s="15" t="s">
        <v>131</v>
      </c>
      <c r="B6" s="72">
        <v>3</v>
      </c>
      <c r="C6" s="48">
        <f>IF(ISBLANK(A6),"",Plan_Speed)</f>
        <v>8</v>
      </c>
      <c r="D6" s="48"/>
      <c r="E6" s="43">
        <f>IF(ISBLANK(A6),"",C6+D6)</f>
        <v>8</v>
      </c>
      <c r="F6" s="44">
        <f>IF(ISBLANK(A6),"",(B6/E6)/24)</f>
        <v>1.5625E-2</v>
      </c>
      <c r="G6" s="46" t="str">
        <f>IF(I5="G","",IF(ISBLANK(A6),"",G5+H5+F6))</f>
        <v/>
      </c>
      <c r="H6" s="52"/>
      <c r="I6" s="43"/>
      <c r="J6" s="46">
        <f>IF(ISBLANK(I5),"",IF(ISBLANK(A6),"",J5+H6+F6))</f>
        <v>0.52048611111111109</v>
      </c>
      <c r="K6" s="46"/>
    </row>
    <row r="7" spans="1:11">
      <c r="A7" s="15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41"/>
      <c r="B8" s="48"/>
      <c r="C8" s="48" t="str">
        <f>IF(ISBLANK(A8),"",Plan_Speed)</f>
        <v/>
      </c>
      <c r="D8" s="48"/>
      <c r="E8" s="43" t="str">
        <f>IF(ISBLANK(A8),"",C8+D8)</f>
        <v/>
      </c>
      <c r="F8" s="44" t="str">
        <f>IF(ISBLANK(A8),"",(B8/E8)/24)</f>
        <v/>
      </c>
      <c r="G8" s="46" t="str">
        <f>IF(I5="G","",IF(ISBLANK(A8),"",G6+H6+F8))</f>
        <v/>
      </c>
      <c r="H8" s="52"/>
      <c r="I8" s="43"/>
      <c r="J8" s="46" t="str">
        <f>IF(ISBLANK(I5),"",IF(ISBLANK(A8),"",J6+H8+F8))</f>
        <v/>
      </c>
      <c r="K8" s="46"/>
    </row>
    <row r="9" spans="1:11">
      <c r="A9" s="92" t="s">
        <v>76</v>
      </c>
      <c r="B9">
        <f>SUM(B3:B8)</f>
        <v>31</v>
      </c>
      <c r="E9" s="67" t="s">
        <v>75</v>
      </c>
      <c r="F9" s="77">
        <f>SUM(F4:F8)</f>
        <v>0.16145833333333334</v>
      </c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48" t="s">
        <v>238</v>
      </c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3" t="s">
        <v>239</v>
      </c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45" t="s">
        <v>240</v>
      </c>
      <c r="B29" s="146"/>
      <c r="C29" s="146"/>
      <c r="D29" s="146"/>
      <c r="E29" s="146"/>
      <c r="F29" s="146"/>
      <c r="G29" s="146"/>
      <c r="H29" s="147" t="s">
        <v>272</v>
      </c>
      <c r="I29" s="127"/>
      <c r="J29" s="127"/>
      <c r="K29" s="127"/>
    </row>
    <row r="30" spans="1:11" ht="15.95" customHeight="1">
      <c r="A30" s="145" t="s">
        <v>241</v>
      </c>
      <c r="B30" s="145" t="s">
        <v>196</v>
      </c>
      <c r="C30" s="145" t="s">
        <v>201</v>
      </c>
      <c r="D30" s="145" t="s">
        <v>259</v>
      </c>
      <c r="E30" s="145" t="s">
        <v>265</v>
      </c>
      <c r="F30" s="146"/>
      <c r="G30" s="145" t="s">
        <v>271</v>
      </c>
      <c r="H30" s="147" t="s">
        <v>273</v>
      </c>
      <c r="I30" s="127"/>
      <c r="J30" s="127"/>
      <c r="K30" s="127"/>
    </row>
    <row r="31" spans="1:11" ht="15.95" customHeight="1">
      <c r="A31" s="145" t="s">
        <v>242</v>
      </c>
      <c r="B31" s="145" t="s">
        <v>198</v>
      </c>
      <c r="C31" s="145" t="s">
        <v>253</v>
      </c>
      <c r="D31" s="145" t="s">
        <v>260</v>
      </c>
      <c r="E31" s="145" t="s">
        <v>266</v>
      </c>
      <c r="F31" s="145" t="s">
        <v>216</v>
      </c>
      <c r="G31" s="145" t="s">
        <v>271</v>
      </c>
      <c r="H31" s="147" t="s">
        <v>274</v>
      </c>
      <c r="I31" s="127"/>
      <c r="J31" s="127"/>
      <c r="K31" s="127"/>
    </row>
    <row r="32" spans="1:11" ht="15.95" customHeight="1">
      <c r="A32" s="145" t="s">
        <v>243</v>
      </c>
      <c r="B32" s="145" t="s">
        <v>252</v>
      </c>
      <c r="C32" s="145" t="s">
        <v>254</v>
      </c>
      <c r="D32" s="145" t="s">
        <v>261</v>
      </c>
      <c r="E32" s="145" t="s">
        <v>266</v>
      </c>
      <c r="F32" s="145" t="s">
        <v>216</v>
      </c>
      <c r="G32" s="145" t="s">
        <v>271</v>
      </c>
      <c r="H32" s="147" t="s">
        <v>275</v>
      </c>
      <c r="I32" s="127"/>
      <c r="J32" s="127"/>
      <c r="K32" s="127"/>
    </row>
    <row r="33" spans="1:11" ht="15.95" customHeight="1">
      <c r="A33" s="145" t="s">
        <v>244</v>
      </c>
      <c r="B33" s="145" t="s">
        <v>252</v>
      </c>
      <c r="C33" s="145" t="s">
        <v>202</v>
      </c>
      <c r="D33" s="145" t="s">
        <v>206</v>
      </c>
      <c r="E33" s="145" t="s">
        <v>266</v>
      </c>
      <c r="F33" s="145" t="s">
        <v>268</v>
      </c>
      <c r="G33" s="145" t="s">
        <v>271</v>
      </c>
      <c r="H33" s="147" t="s">
        <v>276</v>
      </c>
      <c r="I33" s="127"/>
      <c r="J33" s="127"/>
      <c r="K33" s="127"/>
    </row>
    <row r="34" spans="1:11" ht="15.95" customHeight="1">
      <c r="A34" s="145" t="s">
        <v>245</v>
      </c>
      <c r="B34" s="145" t="s">
        <v>196</v>
      </c>
      <c r="C34" s="145" t="s">
        <v>255</v>
      </c>
      <c r="D34" s="145" t="s">
        <v>206</v>
      </c>
      <c r="E34" s="145" t="s">
        <v>266</v>
      </c>
      <c r="F34" s="145" t="s">
        <v>269</v>
      </c>
      <c r="G34" s="145"/>
      <c r="H34" s="147" t="s">
        <v>277</v>
      </c>
      <c r="I34" s="127"/>
      <c r="J34" s="127"/>
      <c r="K34" s="127"/>
    </row>
    <row r="35" spans="1:11" ht="15.95" customHeight="1">
      <c r="A35" s="145" t="s">
        <v>246</v>
      </c>
      <c r="B35" s="145" t="s">
        <v>196</v>
      </c>
      <c r="C35" s="145" t="s">
        <v>256</v>
      </c>
      <c r="D35" s="145" t="s">
        <v>208</v>
      </c>
      <c r="E35" s="145" t="s">
        <v>267</v>
      </c>
      <c r="F35" s="145" t="s">
        <v>270</v>
      </c>
      <c r="G35" s="145" t="s">
        <v>271</v>
      </c>
      <c r="H35" s="147" t="s">
        <v>278</v>
      </c>
      <c r="I35" s="127"/>
      <c r="J35" s="127"/>
      <c r="K35" s="127"/>
    </row>
    <row r="36" spans="1:11" ht="15.95" customHeight="1">
      <c r="A36" s="145" t="s">
        <v>247</v>
      </c>
      <c r="B36" s="145" t="s">
        <v>196</v>
      </c>
      <c r="C36" s="145" t="s">
        <v>257</v>
      </c>
      <c r="D36" s="145" t="s">
        <v>262</v>
      </c>
      <c r="E36" s="145" t="s">
        <v>266</v>
      </c>
      <c r="F36" s="145" t="s">
        <v>217</v>
      </c>
      <c r="G36" s="145" t="s">
        <v>271</v>
      </c>
      <c r="H36" s="147" t="s">
        <v>279</v>
      </c>
      <c r="I36" s="127"/>
      <c r="J36" s="127"/>
      <c r="K36" s="127"/>
    </row>
    <row r="37" spans="1:11" ht="15.95" customHeight="1">
      <c r="A37" s="145" t="s">
        <v>248</v>
      </c>
      <c r="B37" s="145" t="s">
        <v>196</v>
      </c>
      <c r="C37" s="145" t="s">
        <v>202</v>
      </c>
      <c r="D37" s="145" t="s">
        <v>263</v>
      </c>
      <c r="E37" s="145" t="s">
        <v>265</v>
      </c>
      <c r="F37" s="146"/>
      <c r="G37" s="145" t="s">
        <v>271</v>
      </c>
      <c r="H37" s="147" t="s">
        <v>144</v>
      </c>
      <c r="I37" s="127"/>
      <c r="J37" s="127"/>
      <c r="K37" s="127"/>
    </row>
    <row r="38" spans="1:11" ht="15.95" customHeight="1">
      <c r="A38" s="145" t="s">
        <v>249</v>
      </c>
      <c r="B38" s="145" t="s">
        <v>196</v>
      </c>
      <c r="C38" s="145" t="s">
        <v>258</v>
      </c>
      <c r="D38" s="145" t="s">
        <v>264</v>
      </c>
      <c r="E38" s="145" t="s">
        <v>265</v>
      </c>
      <c r="F38" s="146"/>
      <c r="G38" s="145" t="s">
        <v>271</v>
      </c>
      <c r="H38" s="147" t="s">
        <v>280</v>
      </c>
      <c r="I38" s="127"/>
      <c r="J38" s="127"/>
      <c r="K38" s="127"/>
    </row>
    <row r="39" spans="1:11" ht="15.95" customHeight="1">
      <c r="A39" s="145" t="s">
        <v>250</v>
      </c>
      <c r="B39" s="146"/>
      <c r="C39" s="146"/>
      <c r="D39" s="146"/>
      <c r="E39" s="146"/>
      <c r="F39" s="146"/>
      <c r="G39" s="146"/>
      <c r="H39" s="147" t="s">
        <v>281</v>
      </c>
      <c r="I39" s="127"/>
      <c r="J39" s="127"/>
      <c r="K39" s="127"/>
    </row>
    <row r="40" spans="1:11" ht="15.95" customHeight="1">
      <c r="A40" s="145" t="s">
        <v>251</v>
      </c>
      <c r="B40" s="146"/>
      <c r="C40" s="146"/>
      <c r="D40" s="146"/>
      <c r="E40" s="146"/>
      <c r="F40" s="146"/>
      <c r="G40" s="146"/>
      <c r="H40" s="147" t="s">
        <v>282</v>
      </c>
      <c r="I40" s="127"/>
      <c r="J40" s="127"/>
      <c r="K40" s="127"/>
    </row>
    <row r="41" spans="1:11" ht="15.95" customHeight="1">
      <c r="A41" s="146"/>
      <c r="B41" s="146"/>
      <c r="C41" s="146"/>
      <c r="D41" s="146"/>
      <c r="E41" s="146"/>
      <c r="F41" s="146"/>
      <c r="G41" s="146"/>
      <c r="H41" s="127"/>
      <c r="I41" s="127"/>
      <c r="J41" s="127"/>
      <c r="K41" s="127"/>
    </row>
    <row r="42" spans="1:11" ht="15.95" customHeight="1">
      <c r="A42" s="146"/>
      <c r="B42" s="146"/>
      <c r="C42" s="146"/>
      <c r="D42" s="146"/>
      <c r="E42" s="146"/>
      <c r="F42" s="146"/>
      <c r="G42" s="146"/>
      <c r="H42" s="127"/>
      <c r="I42" s="127"/>
      <c r="J42" s="127"/>
      <c r="K42" s="127"/>
    </row>
    <row r="43" spans="1:11" ht="15.95" customHeight="1">
      <c r="A43" s="146"/>
      <c r="B43" s="146"/>
      <c r="C43" s="146"/>
      <c r="D43" s="146"/>
      <c r="E43" s="146"/>
      <c r="F43" s="146"/>
      <c r="G43" s="146"/>
      <c r="H43" s="147" t="s">
        <v>283</v>
      </c>
      <c r="I43" s="127"/>
      <c r="J43" s="127"/>
      <c r="K43" s="127"/>
    </row>
    <row r="44" spans="1:11" ht="15.95" customHeight="1">
      <c r="A44" s="146"/>
      <c r="B44" s="146"/>
      <c r="C44" s="146"/>
      <c r="D44" s="146"/>
      <c r="E44" s="146"/>
      <c r="F44" s="146"/>
      <c r="G44" s="146"/>
      <c r="H44" s="127"/>
      <c r="I44" s="127"/>
      <c r="J44" s="127"/>
      <c r="K44" s="127"/>
    </row>
    <row r="45" spans="1:11" ht="15.95" customHeight="1">
      <c r="A45" s="146"/>
      <c r="B45" s="146"/>
      <c r="C45" s="146"/>
      <c r="D45" s="146"/>
      <c r="E45" s="146"/>
      <c r="F45" s="146"/>
      <c r="G45" s="146"/>
      <c r="H45" s="127"/>
      <c r="I45" s="127"/>
      <c r="J45" s="127"/>
      <c r="K45" s="127"/>
    </row>
    <row r="46" spans="1:11" ht="15.95" customHeight="1">
      <c r="A46" s="146"/>
      <c r="B46" s="146"/>
      <c r="C46" s="146"/>
      <c r="D46" s="146"/>
      <c r="E46" s="146"/>
      <c r="F46" s="146"/>
      <c r="G46" s="146"/>
      <c r="H46" s="127"/>
      <c r="I46" s="127"/>
      <c r="J46" s="127"/>
      <c r="K46" s="127"/>
    </row>
    <row r="47" spans="1:11" ht="15.95" customHeight="1">
      <c r="A47" s="146"/>
      <c r="B47" s="146"/>
      <c r="C47" s="146"/>
      <c r="D47" s="146"/>
      <c r="E47" s="146"/>
      <c r="F47" s="146"/>
      <c r="G47" s="146"/>
      <c r="H47" s="127"/>
      <c r="I47" s="127"/>
      <c r="J47" s="127"/>
      <c r="K47" s="127"/>
    </row>
    <row r="48" spans="1:11" ht="15.95" customHeight="1">
      <c r="A48" s="146"/>
      <c r="B48" s="146"/>
      <c r="C48" s="146"/>
      <c r="D48" s="146"/>
      <c r="E48" s="146"/>
      <c r="F48" s="146"/>
      <c r="G48" s="146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3259.7</v>
      </c>
      <c r="D50" s="76" t="s">
        <v>107</v>
      </c>
      <c r="E50" s="42">
        <v>3261.9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topLeftCell="A27" workbookViewId="0">
      <selection activeCell="E50" sqref="E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115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131</v>
      </c>
      <c r="B3" s="45"/>
      <c r="C3" s="45"/>
      <c r="D3" s="45"/>
      <c r="E3" s="45"/>
      <c r="F3" s="45"/>
      <c r="G3" s="51">
        <v>0.33333333333333331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132</v>
      </c>
      <c r="B4" s="48">
        <v>36</v>
      </c>
      <c r="C4" s="48">
        <f>IF(ISBLANK(A4),"",Plan_Speed)</f>
        <v>8</v>
      </c>
      <c r="D4" s="124"/>
      <c r="E4" s="43">
        <f>IF(ISBLANK(A4),"",C4+D4)</f>
        <v>8</v>
      </c>
      <c r="F4" s="44">
        <f>IF(ISBLANK(A4),"",(B4/E4)/24)</f>
        <v>0.1875</v>
      </c>
      <c r="G4" s="46">
        <f>IF(I5="G","",IF(ISBLANK(A4),"",G3+H3+F4))</f>
        <v>0.52083333333333326</v>
      </c>
      <c r="H4" s="52"/>
      <c r="I4" s="43"/>
      <c r="J4" s="46" t="str">
        <f>IF(I5="G",K5-F5-H4,"")</f>
        <v/>
      </c>
      <c r="K4" s="46"/>
    </row>
    <row r="5" spans="1:11">
      <c r="A5" s="42"/>
      <c r="B5" s="48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2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IF(I5="G","",IF(ISBLANK(A7),"",G5+H5+F7))</f>
        <v/>
      </c>
      <c r="H7" s="52"/>
      <c r="I7" s="43"/>
      <c r="J7" s="46" t="str">
        <f>IF(ISBLANK(I5),"",IF(ISBLANK(A7),"",J5+H7+F7))</f>
        <v/>
      </c>
      <c r="K7" s="46"/>
    </row>
    <row r="8" spans="1:11">
      <c r="A8" s="41"/>
      <c r="B8" s="48"/>
      <c r="C8" s="48" t="str">
        <f>IF(ISBLANK(A8),"",Plan_Speed)</f>
        <v/>
      </c>
      <c r="D8" s="48"/>
      <c r="E8" s="43" t="str">
        <f>IF(ISBLANK(A8),"",C8+D8)</f>
        <v/>
      </c>
      <c r="F8" s="44" t="str">
        <f>IF(ISBLANK(A8),"",(B8/E8)/24)</f>
        <v/>
      </c>
      <c r="G8" s="46" t="str">
        <f>IF(I5="G","",IF(ISBLANK(A8),"",G6+H6+F8))</f>
        <v/>
      </c>
      <c r="H8" s="52"/>
      <c r="I8" s="43"/>
      <c r="J8" s="46" t="str">
        <f>IF(ISBLANK(I5),"",IF(ISBLANK(A8),"",J6+H8+F8))</f>
        <v/>
      </c>
      <c r="K8" s="46"/>
    </row>
    <row r="9" spans="1:11">
      <c r="A9" s="92" t="s">
        <v>76</v>
      </c>
      <c r="B9">
        <f>SUM(B3:B8)</f>
        <v>36</v>
      </c>
      <c r="E9" s="67" t="s">
        <v>75</v>
      </c>
      <c r="F9" s="77">
        <f>SUM(F4:F8)</f>
        <v>0.1875</v>
      </c>
      <c r="H9" s="14" t="s">
        <v>145</v>
      </c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 t="s">
        <v>290</v>
      </c>
      <c r="C13" s="130"/>
      <c r="D13" s="130"/>
      <c r="E13" s="119"/>
      <c r="F13" s="118"/>
    </row>
    <row r="14" spans="1:11">
      <c r="A14" s="120"/>
      <c r="B14" s="128" t="s">
        <v>239</v>
      </c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45" t="s">
        <v>291</v>
      </c>
      <c r="B29" s="146"/>
      <c r="C29" s="146"/>
      <c r="D29" s="146"/>
      <c r="E29" s="146"/>
      <c r="F29" s="146"/>
      <c r="G29" s="146"/>
      <c r="H29" s="150" t="s">
        <v>315</v>
      </c>
      <c r="I29" s="127"/>
      <c r="J29" s="127"/>
      <c r="K29" s="127"/>
    </row>
    <row r="30" spans="1:11" ht="15.95" customHeight="1">
      <c r="A30" s="145" t="s">
        <v>292</v>
      </c>
      <c r="B30" s="146"/>
      <c r="C30" s="146"/>
      <c r="D30" s="146"/>
      <c r="E30" s="146"/>
      <c r="F30" s="146"/>
      <c r="G30" s="146"/>
      <c r="H30" s="150" t="s">
        <v>316</v>
      </c>
      <c r="I30" s="127"/>
      <c r="J30" s="127"/>
      <c r="K30" s="127"/>
    </row>
    <row r="31" spans="1:11" ht="15.95" customHeight="1">
      <c r="A31" s="145" t="s">
        <v>293</v>
      </c>
      <c r="B31" s="145" t="s">
        <v>200</v>
      </c>
      <c r="C31" s="145" t="s">
        <v>301</v>
      </c>
      <c r="D31" s="145" t="s">
        <v>306</v>
      </c>
      <c r="E31" s="145" t="s">
        <v>265</v>
      </c>
      <c r="F31" s="146"/>
      <c r="G31" s="145" t="s">
        <v>208</v>
      </c>
      <c r="H31" s="150"/>
      <c r="I31" s="127"/>
      <c r="J31" s="127"/>
      <c r="K31" s="127"/>
    </row>
    <row r="32" spans="1:11" ht="15.95" customHeight="1">
      <c r="A32" s="145" t="s">
        <v>294</v>
      </c>
      <c r="B32" s="145" t="s">
        <v>186</v>
      </c>
      <c r="C32" s="145" t="s">
        <v>302</v>
      </c>
      <c r="D32" s="145" t="s">
        <v>307</v>
      </c>
      <c r="E32" s="145" t="s">
        <v>311</v>
      </c>
      <c r="F32" s="146"/>
      <c r="G32" s="145" t="s">
        <v>208</v>
      </c>
      <c r="H32" s="150" t="s">
        <v>317</v>
      </c>
      <c r="I32" s="127"/>
      <c r="J32" s="127"/>
      <c r="K32" s="127"/>
    </row>
    <row r="33" spans="1:11" ht="15.95" customHeight="1">
      <c r="A33" s="145" t="s">
        <v>295</v>
      </c>
      <c r="B33" s="145" t="s">
        <v>200</v>
      </c>
      <c r="C33" s="145" t="s">
        <v>303</v>
      </c>
      <c r="D33" s="145" t="s">
        <v>308</v>
      </c>
      <c r="E33" s="145" t="s">
        <v>265</v>
      </c>
      <c r="F33" s="146"/>
      <c r="G33" s="145" t="s">
        <v>208</v>
      </c>
      <c r="H33" s="150" t="s">
        <v>318</v>
      </c>
      <c r="I33" s="127"/>
      <c r="J33" s="127"/>
      <c r="K33" s="127"/>
    </row>
    <row r="34" spans="1:11" ht="15.95" customHeight="1">
      <c r="A34" s="145" t="s">
        <v>250</v>
      </c>
      <c r="B34" s="145" t="s">
        <v>200</v>
      </c>
      <c r="C34" s="145" t="s">
        <v>254</v>
      </c>
      <c r="D34" s="145" t="s">
        <v>309</v>
      </c>
      <c r="E34" s="145" t="s">
        <v>312</v>
      </c>
      <c r="F34" s="146"/>
      <c r="G34" s="145" t="s">
        <v>208</v>
      </c>
      <c r="H34" s="150" t="s">
        <v>319</v>
      </c>
      <c r="I34" s="127"/>
      <c r="J34" s="127"/>
      <c r="K34" s="127"/>
    </row>
    <row r="35" spans="1:11" ht="15.95" customHeight="1">
      <c r="A35" s="145" t="s">
        <v>296</v>
      </c>
      <c r="B35" s="145" t="s">
        <v>200</v>
      </c>
      <c r="C35" s="145" t="s">
        <v>304</v>
      </c>
      <c r="D35" s="145" t="s">
        <v>310</v>
      </c>
      <c r="E35" s="145" t="s">
        <v>265</v>
      </c>
      <c r="F35" s="146"/>
      <c r="G35" s="145" t="s">
        <v>208</v>
      </c>
      <c r="H35" s="150" t="s">
        <v>320</v>
      </c>
      <c r="I35" s="127"/>
      <c r="J35" s="127"/>
      <c r="K35" s="127"/>
    </row>
    <row r="36" spans="1:11" ht="15.95" customHeight="1">
      <c r="A36" s="145" t="s">
        <v>297</v>
      </c>
      <c r="B36" s="145" t="s">
        <v>200</v>
      </c>
      <c r="C36" s="145" t="s">
        <v>305</v>
      </c>
      <c r="D36" s="145" t="s">
        <v>211</v>
      </c>
      <c r="E36" s="145" t="s">
        <v>265</v>
      </c>
      <c r="F36" s="146"/>
      <c r="G36" s="145" t="s">
        <v>208</v>
      </c>
      <c r="H36" s="150" t="s">
        <v>321</v>
      </c>
      <c r="I36" s="127"/>
      <c r="J36" s="127"/>
      <c r="K36" s="127"/>
    </row>
    <row r="37" spans="1:11" ht="15.95" customHeight="1">
      <c r="A37" s="145" t="s">
        <v>298</v>
      </c>
      <c r="B37" s="145" t="s">
        <v>200</v>
      </c>
      <c r="C37" s="145" t="s">
        <v>301</v>
      </c>
      <c r="D37" s="145" t="s">
        <v>271</v>
      </c>
      <c r="E37" s="145" t="s">
        <v>313</v>
      </c>
      <c r="F37" s="145" t="s">
        <v>314</v>
      </c>
      <c r="G37" s="146"/>
      <c r="H37" s="150" t="s">
        <v>322</v>
      </c>
      <c r="I37" s="127"/>
      <c r="J37" s="127"/>
      <c r="K37" s="127"/>
    </row>
    <row r="38" spans="1:11" ht="15.95" customHeight="1">
      <c r="A38" s="145" t="s">
        <v>299</v>
      </c>
      <c r="B38" s="146"/>
      <c r="C38" s="146"/>
      <c r="D38" s="146"/>
      <c r="E38" s="146"/>
      <c r="F38" s="146"/>
      <c r="G38" s="146"/>
      <c r="H38" s="150" t="s">
        <v>323</v>
      </c>
      <c r="I38" s="127"/>
      <c r="J38" s="127"/>
      <c r="K38" s="127"/>
    </row>
    <row r="39" spans="1:11" ht="15.95" customHeight="1">
      <c r="A39" s="145" t="s">
        <v>300</v>
      </c>
      <c r="B39" s="146"/>
      <c r="C39" s="146"/>
      <c r="D39" s="146"/>
      <c r="E39" s="146"/>
      <c r="F39" s="146"/>
      <c r="G39" s="146"/>
      <c r="H39" s="150" t="s">
        <v>324</v>
      </c>
      <c r="I39" s="127"/>
      <c r="J39" s="127"/>
      <c r="K39" s="127"/>
    </row>
    <row r="40" spans="1:11" ht="15.95" customHeight="1">
      <c r="A40" s="146"/>
      <c r="B40" s="146"/>
      <c r="C40" s="146"/>
      <c r="D40" s="146"/>
      <c r="E40" s="146"/>
      <c r="F40" s="146"/>
      <c r="G40" s="146"/>
      <c r="H40" s="149"/>
      <c r="I40" s="127"/>
      <c r="J40" s="127"/>
      <c r="K40" s="127"/>
    </row>
    <row r="41" spans="1:11" ht="15.95" customHeight="1">
      <c r="A41" s="146"/>
      <c r="B41" s="146"/>
      <c r="C41" s="146"/>
      <c r="D41" s="146"/>
      <c r="E41" s="146"/>
      <c r="F41" s="146"/>
      <c r="G41" s="146"/>
      <c r="H41" s="149"/>
      <c r="I41" s="127"/>
      <c r="J41" s="127"/>
      <c r="K41" s="127"/>
    </row>
    <row r="42" spans="1:11" ht="15.95" customHeight="1">
      <c r="A42" s="146"/>
      <c r="B42" s="146"/>
      <c r="C42" s="146"/>
      <c r="D42" s="146"/>
      <c r="E42" s="146"/>
      <c r="F42" s="146"/>
      <c r="G42" s="146"/>
      <c r="H42" s="150" t="s">
        <v>325</v>
      </c>
      <c r="I42" s="127"/>
      <c r="J42" s="127"/>
      <c r="K42" s="127"/>
    </row>
    <row r="43" spans="1:11" ht="15.95" customHeight="1">
      <c r="A43" s="146"/>
      <c r="B43" s="146"/>
      <c r="C43" s="146"/>
      <c r="D43" s="146"/>
      <c r="E43" s="146"/>
      <c r="F43" s="146"/>
      <c r="G43" s="146"/>
      <c r="H43" s="149"/>
      <c r="I43" s="127"/>
      <c r="J43" s="127"/>
      <c r="K43" s="127"/>
    </row>
    <row r="44" spans="1:11" ht="15.95" customHeight="1">
      <c r="A44" s="146"/>
      <c r="B44" s="146"/>
      <c r="C44" s="146"/>
      <c r="D44" s="146"/>
      <c r="E44" s="146"/>
      <c r="F44" s="146"/>
      <c r="G44" s="146"/>
      <c r="H44" s="149"/>
      <c r="I44" s="127"/>
      <c r="J44" s="127"/>
      <c r="K44" s="127"/>
    </row>
    <row r="45" spans="1:11" ht="15.95" customHeight="1">
      <c r="A45" s="146"/>
      <c r="B45" s="146"/>
      <c r="C45" s="146"/>
      <c r="D45" s="146"/>
      <c r="E45" s="146"/>
      <c r="F45" s="146"/>
      <c r="G45" s="146"/>
      <c r="H45" s="149"/>
      <c r="I45" s="127"/>
      <c r="J45" s="127"/>
      <c r="K45" s="127"/>
    </row>
    <row r="46" spans="1:11" ht="15.95" customHeight="1">
      <c r="A46" s="146"/>
      <c r="B46" s="146"/>
      <c r="C46" s="146"/>
      <c r="D46" s="146"/>
      <c r="E46" s="146"/>
      <c r="F46" s="146"/>
      <c r="G46" s="146"/>
      <c r="H46" s="149"/>
      <c r="I46" s="127"/>
      <c r="J46" s="127"/>
      <c r="K46" s="127"/>
    </row>
    <row r="47" spans="1:11" ht="15.95" customHeight="1">
      <c r="A47" s="146"/>
      <c r="B47" s="146"/>
      <c r="C47" s="146"/>
      <c r="D47" s="146"/>
      <c r="E47" s="146"/>
      <c r="F47" s="146"/>
      <c r="G47" s="146"/>
      <c r="H47" s="149"/>
      <c r="I47" s="127"/>
      <c r="J47" s="127"/>
      <c r="K47" s="127"/>
    </row>
    <row r="48" spans="1:11" ht="15.95" customHeight="1">
      <c r="A48" s="146"/>
      <c r="B48" s="146"/>
      <c r="C48" s="146"/>
      <c r="D48" s="146"/>
      <c r="E48" s="146"/>
      <c r="F48" s="146"/>
      <c r="G48" s="146"/>
      <c r="H48" s="149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3264.8</v>
      </c>
      <c r="D50" s="76" t="s">
        <v>107</v>
      </c>
      <c r="E50" s="42">
        <v>3267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topLeftCell="A26" workbookViewId="0">
      <selection activeCell="D50" sqref="D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116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132</v>
      </c>
      <c r="B3" s="45"/>
      <c r="C3" s="45"/>
      <c r="D3" s="45"/>
      <c r="E3" s="45"/>
      <c r="F3" s="45"/>
      <c r="G3" s="51">
        <v>0.35416666666666669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133</v>
      </c>
      <c r="B4" s="48">
        <v>46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0.23958333333333334</v>
      </c>
      <c r="G4" s="46">
        <f>IF(I5="G","",IF(ISBLANK(A4),"",G3+H3+F4))</f>
        <v>0.59375</v>
      </c>
      <c r="H4" s="52"/>
      <c r="I4" s="43"/>
      <c r="J4" s="46" t="str">
        <f>IF(I5="G",K5-F5-H4,"")</f>
        <v/>
      </c>
      <c r="K4" s="46"/>
    </row>
    <row r="5" spans="1:11">
      <c r="A5" s="42"/>
      <c r="B5" s="48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2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46</v>
      </c>
      <c r="E8" s="67" t="s">
        <v>75</v>
      </c>
      <c r="F8" s="77">
        <f>SUM(F3:F7)</f>
        <v>0.23958333333333334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45" t="s">
        <v>326</v>
      </c>
      <c r="B29" s="146"/>
      <c r="C29" s="146"/>
      <c r="D29" s="146"/>
      <c r="E29" s="146"/>
      <c r="F29" s="146"/>
      <c r="G29" s="146"/>
      <c r="H29" s="147" t="s">
        <v>363</v>
      </c>
      <c r="I29" s="127"/>
      <c r="J29" s="127"/>
      <c r="K29" s="127"/>
    </row>
    <row r="30" spans="1:11" ht="15.95" customHeight="1">
      <c r="A30" s="145" t="s">
        <v>327</v>
      </c>
      <c r="B30" s="146"/>
      <c r="C30" s="146"/>
      <c r="D30" s="146"/>
      <c r="E30" s="146"/>
      <c r="F30" s="146"/>
      <c r="G30" s="146"/>
      <c r="H30" s="147" t="s">
        <v>364</v>
      </c>
      <c r="I30" s="127"/>
      <c r="J30" s="127"/>
      <c r="K30" s="127"/>
    </row>
    <row r="31" spans="1:11" ht="15.95" customHeight="1">
      <c r="A31" s="145" t="s">
        <v>185</v>
      </c>
      <c r="B31" s="145" t="s">
        <v>200</v>
      </c>
      <c r="C31" s="145" t="s">
        <v>201</v>
      </c>
      <c r="D31" s="145" t="s">
        <v>344</v>
      </c>
      <c r="E31" s="145" t="s">
        <v>266</v>
      </c>
      <c r="F31" s="145" t="s">
        <v>219</v>
      </c>
      <c r="G31" s="145" t="s">
        <v>362</v>
      </c>
      <c r="H31" s="147" t="s">
        <v>365</v>
      </c>
      <c r="I31" s="127"/>
      <c r="J31" s="127"/>
      <c r="K31" s="127"/>
    </row>
    <row r="32" spans="1:11" ht="15.95" customHeight="1">
      <c r="A32" s="145" t="s">
        <v>328</v>
      </c>
      <c r="B32" s="145" t="s">
        <v>196</v>
      </c>
      <c r="C32" s="145" t="s">
        <v>203</v>
      </c>
      <c r="D32" s="145" t="s">
        <v>345</v>
      </c>
      <c r="E32" s="145" t="s">
        <v>354</v>
      </c>
      <c r="F32" s="145" t="s">
        <v>357</v>
      </c>
      <c r="G32" s="145" t="s">
        <v>271</v>
      </c>
      <c r="H32" s="147" t="s">
        <v>366</v>
      </c>
      <c r="I32" s="127"/>
      <c r="J32" s="127"/>
      <c r="K32" s="127"/>
    </row>
    <row r="33" spans="1:11" ht="15.95" customHeight="1">
      <c r="A33" s="145" t="s">
        <v>329</v>
      </c>
      <c r="B33" s="145" t="s">
        <v>196</v>
      </c>
      <c r="C33" s="145" t="s">
        <v>201</v>
      </c>
      <c r="D33" s="145" t="s">
        <v>346</v>
      </c>
      <c r="E33" s="145" t="s">
        <v>354</v>
      </c>
      <c r="F33" s="145" t="s">
        <v>216</v>
      </c>
      <c r="G33" s="145" t="s">
        <v>208</v>
      </c>
      <c r="H33" s="147" t="s">
        <v>367</v>
      </c>
      <c r="I33" s="127"/>
      <c r="J33" s="127"/>
      <c r="K33" s="127"/>
    </row>
    <row r="34" spans="1:11" ht="15.95" customHeight="1">
      <c r="A34" s="145" t="s">
        <v>330</v>
      </c>
      <c r="B34" s="145" t="s">
        <v>198</v>
      </c>
      <c r="C34" s="145" t="s">
        <v>341</v>
      </c>
      <c r="D34" s="145" t="s">
        <v>346</v>
      </c>
      <c r="E34" s="145" t="s">
        <v>354</v>
      </c>
      <c r="F34" s="145" t="s">
        <v>216</v>
      </c>
      <c r="G34" s="145" t="s">
        <v>208</v>
      </c>
      <c r="H34" s="147" t="s">
        <v>368</v>
      </c>
      <c r="I34" s="127"/>
      <c r="J34" s="127"/>
      <c r="K34" s="127"/>
    </row>
    <row r="35" spans="1:11" ht="15.95" customHeight="1">
      <c r="A35" s="145" t="s">
        <v>331</v>
      </c>
      <c r="B35" s="145" t="s">
        <v>196</v>
      </c>
      <c r="C35" s="145" t="s">
        <v>302</v>
      </c>
      <c r="D35" s="145" t="s">
        <v>347</v>
      </c>
      <c r="E35" s="145" t="s">
        <v>355</v>
      </c>
      <c r="F35" s="145" t="s">
        <v>358</v>
      </c>
      <c r="G35" s="145" t="s">
        <v>208</v>
      </c>
      <c r="H35" s="147" t="s">
        <v>369</v>
      </c>
      <c r="I35" s="127"/>
      <c r="J35" s="127"/>
      <c r="K35" s="127"/>
    </row>
    <row r="36" spans="1:11" ht="15.95" customHeight="1">
      <c r="A36" s="145" t="s">
        <v>332</v>
      </c>
      <c r="B36" s="145" t="s">
        <v>198</v>
      </c>
      <c r="C36" s="145" t="s">
        <v>202</v>
      </c>
      <c r="D36" s="145" t="s">
        <v>348</v>
      </c>
      <c r="E36" s="145" t="s">
        <v>354</v>
      </c>
      <c r="F36" s="145" t="s">
        <v>359</v>
      </c>
      <c r="G36" s="146"/>
      <c r="H36" s="147" t="s">
        <v>370</v>
      </c>
      <c r="I36" s="127"/>
      <c r="J36" s="127"/>
      <c r="K36" s="127"/>
    </row>
    <row r="37" spans="1:11" ht="15.95" customHeight="1">
      <c r="A37" s="145" t="s">
        <v>333</v>
      </c>
      <c r="B37" s="146"/>
      <c r="C37" s="146"/>
      <c r="D37" s="146"/>
      <c r="E37" s="146"/>
      <c r="F37" s="146"/>
      <c r="G37" s="146"/>
      <c r="H37" s="147" t="s">
        <v>371</v>
      </c>
      <c r="I37" s="127"/>
      <c r="J37" s="127"/>
      <c r="K37" s="127"/>
    </row>
    <row r="38" spans="1:11" ht="15.95" customHeight="1">
      <c r="A38" s="145" t="s">
        <v>334</v>
      </c>
      <c r="B38" s="145" t="s">
        <v>198</v>
      </c>
      <c r="C38" s="145" t="s">
        <v>341</v>
      </c>
      <c r="D38" s="145" t="s">
        <v>349</v>
      </c>
      <c r="E38" s="145" t="s">
        <v>265</v>
      </c>
      <c r="F38" s="146"/>
      <c r="G38" s="145" t="s">
        <v>208</v>
      </c>
      <c r="H38" s="147" t="s">
        <v>372</v>
      </c>
      <c r="I38" s="127"/>
      <c r="J38" s="127"/>
      <c r="K38" s="127"/>
    </row>
    <row r="39" spans="1:11" ht="15.95" customHeight="1">
      <c r="A39" s="145" t="s">
        <v>200</v>
      </c>
      <c r="B39" s="145" t="s">
        <v>198</v>
      </c>
      <c r="C39" s="145" t="s">
        <v>341</v>
      </c>
      <c r="D39" s="145" t="s">
        <v>350</v>
      </c>
      <c r="E39" s="145" t="s">
        <v>265</v>
      </c>
      <c r="F39" s="146"/>
      <c r="G39" s="146"/>
      <c r="H39" s="147" t="s">
        <v>373</v>
      </c>
      <c r="I39" s="127"/>
      <c r="J39" s="127"/>
      <c r="K39" s="127"/>
    </row>
    <row r="40" spans="1:11" ht="15.95" customHeight="1">
      <c r="A40" s="145" t="s">
        <v>335</v>
      </c>
      <c r="B40" s="145" t="s">
        <v>198</v>
      </c>
      <c r="C40" s="145" t="s">
        <v>256</v>
      </c>
      <c r="D40" s="145" t="s">
        <v>351</v>
      </c>
      <c r="E40" s="145" t="s">
        <v>356</v>
      </c>
      <c r="F40" s="145" t="s">
        <v>360</v>
      </c>
      <c r="G40" s="145" t="s">
        <v>208</v>
      </c>
      <c r="H40" s="147" t="s">
        <v>374</v>
      </c>
      <c r="I40" s="127"/>
      <c r="J40" s="127"/>
      <c r="K40" s="127"/>
    </row>
    <row r="41" spans="1:11" ht="15.95" customHeight="1">
      <c r="A41" s="145" t="s">
        <v>336</v>
      </c>
      <c r="B41" s="145" t="s">
        <v>196</v>
      </c>
      <c r="C41" s="145" t="s">
        <v>342</v>
      </c>
      <c r="D41" s="145" t="s">
        <v>352</v>
      </c>
      <c r="E41" s="145" t="s">
        <v>355</v>
      </c>
      <c r="F41" s="145" t="s">
        <v>361</v>
      </c>
      <c r="G41" s="145" t="s">
        <v>208</v>
      </c>
      <c r="H41" s="147" t="s">
        <v>375</v>
      </c>
      <c r="I41" s="127"/>
      <c r="J41" s="127"/>
      <c r="K41" s="127"/>
    </row>
    <row r="42" spans="1:11" ht="15.95" customHeight="1">
      <c r="A42" s="145" t="s">
        <v>337</v>
      </c>
      <c r="B42" s="145" t="s">
        <v>340</v>
      </c>
      <c r="C42" s="145" t="s">
        <v>343</v>
      </c>
      <c r="D42" s="145" t="s">
        <v>209</v>
      </c>
      <c r="E42" s="145" t="s">
        <v>265</v>
      </c>
      <c r="F42" s="146"/>
      <c r="G42" s="145" t="s">
        <v>208</v>
      </c>
      <c r="H42" s="147" t="s">
        <v>376</v>
      </c>
      <c r="I42" s="127"/>
      <c r="J42" s="127"/>
      <c r="K42" s="127"/>
    </row>
    <row r="43" spans="1:11" ht="15.95" customHeight="1">
      <c r="A43" s="145" t="s">
        <v>338</v>
      </c>
      <c r="B43" s="145" t="s">
        <v>196</v>
      </c>
      <c r="C43" s="145" t="s">
        <v>302</v>
      </c>
      <c r="D43" s="145" t="s">
        <v>353</v>
      </c>
      <c r="E43" s="145" t="s">
        <v>265</v>
      </c>
      <c r="F43" s="146"/>
      <c r="G43" s="145" t="s">
        <v>208</v>
      </c>
      <c r="H43" s="147" t="s">
        <v>377</v>
      </c>
      <c r="I43" s="127"/>
      <c r="J43" s="127"/>
      <c r="K43" s="127"/>
    </row>
    <row r="44" spans="1:11" ht="15.95" customHeight="1">
      <c r="A44" s="145" t="s">
        <v>339</v>
      </c>
      <c r="B44" s="146"/>
      <c r="C44" s="146"/>
      <c r="D44" s="146"/>
      <c r="E44" s="146"/>
      <c r="F44" s="146"/>
      <c r="G44" s="146"/>
      <c r="H44" s="147" t="s">
        <v>378</v>
      </c>
      <c r="I44" s="127"/>
      <c r="J44" s="127"/>
      <c r="K44" s="127"/>
    </row>
    <row r="45" spans="1:11" ht="15.95" customHeight="1">
      <c r="A45" s="146"/>
      <c r="B45" s="146"/>
      <c r="C45" s="146"/>
      <c r="D45" s="146"/>
      <c r="E45" s="146"/>
      <c r="F45" s="146"/>
      <c r="G45" s="146"/>
      <c r="H45" s="127"/>
      <c r="I45" s="127"/>
      <c r="J45" s="127"/>
      <c r="K45" s="127"/>
    </row>
    <row r="46" spans="1:11" ht="15.95" customHeight="1">
      <c r="A46" s="146"/>
      <c r="B46" s="146"/>
      <c r="C46" s="146"/>
      <c r="D46" s="146"/>
      <c r="E46" s="146"/>
      <c r="F46" s="146"/>
      <c r="G46" s="146"/>
      <c r="H46" s="127"/>
      <c r="I46" s="127"/>
      <c r="J46" s="127"/>
      <c r="K46" s="127"/>
    </row>
    <row r="47" spans="1:11" ht="15.95" customHeight="1">
      <c r="A47" s="146"/>
      <c r="B47" s="146"/>
      <c r="C47" s="146"/>
      <c r="D47" s="146"/>
      <c r="E47" s="146"/>
      <c r="F47" s="146"/>
      <c r="G47" s="146"/>
      <c r="H47" s="127"/>
      <c r="I47" s="127"/>
      <c r="J47" s="127"/>
      <c r="K47" s="127"/>
    </row>
    <row r="48" spans="1:11" ht="15.95" customHeight="1">
      <c r="A48" s="146"/>
      <c r="B48" s="146"/>
      <c r="C48" s="146"/>
      <c r="D48" s="146"/>
      <c r="E48" s="146"/>
      <c r="F48" s="146"/>
      <c r="G48" s="146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3270.3</v>
      </c>
      <c r="D50" s="76" t="s">
        <v>107</v>
      </c>
      <c r="E50" s="42">
        <v>3272.5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topLeftCell="A26" workbookViewId="0">
      <selection activeCell="E50" sqref="E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117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133</v>
      </c>
      <c r="B3" s="45"/>
      <c r="C3" s="45"/>
      <c r="D3" s="45"/>
      <c r="E3" s="45"/>
      <c r="F3" s="45"/>
      <c r="G3" s="51">
        <v>0.35416666666666669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133</v>
      </c>
      <c r="B4" s="48">
        <v>33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0.171875</v>
      </c>
      <c r="G4" s="46">
        <f>IF(I5="G","",IF(ISBLANK(A4),"",G3+H3+F4))</f>
        <v>0.52604166666666674</v>
      </c>
      <c r="H4" s="52"/>
      <c r="I4" s="43"/>
      <c r="J4" s="46" t="str">
        <f>IF(I5="G",K5-F5-H4,"")</f>
        <v/>
      </c>
      <c r="K4" s="46"/>
    </row>
    <row r="5" spans="1:11">
      <c r="A5" s="83"/>
      <c r="B5" s="91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72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1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33</v>
      </c>
      <c r="E8" s="67" t="s">
        <v>75</v>
      </c>
      <c r="F8" s="77">
        <f>SUM(F3:F7)</f>
        <v>0.171875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45" t="s">
        <v>379</v>
      </c>
      <c r="B29" s="145" t="s">
        <v>199</v>
      </c>
      <c r="C29" s="146"/>
      <c r="D29" s="146"/>
      <c r="E29" s="145" t="s">
        <v>265</v>
      </c>
      <c r="F29" s="146"/>
      <c r="G29" s="146"/>
      <c r="H29" s="147" t="s">
        <v>402</v>
      </c>
      <c r="I29" s="127"/>
      <c r="J29" s="127"/>
      <c r="K29" s="127"/>
    </row>
    <row r="30" spans="1:11" ht="15.95" customHeight="1">
      <c r="A30" s="145" t="s">
        <v>380</v>
      </c>
      <c r="B30" s="145" t="s">
        <v>199</v>
      </c>
      <c r="C30" s="145" t="s">
        <v>397</v>
      </c>
      <c r="D30" s="145" t="s">
        <v>399</v>
      </c>
      <c r="E30" s="145" t="s">
        <v>265</v>
      </c>
      <c r="F30" s="146"/>
      <c r="G30" s="145" t="s">
        <v>401</v>
      </c>
      <c r="H30" s="147" t="s">
        <v>403</v>
      </c>
      <c r="I30" s="127"/>
      <c r="J30" s="127"/>
      <c r="K30" s="127"/>
    </row>
    <row r="31" spans="1:11" ht="15.95" customHeight="1">
      <c r="A31" s="145" t="s">
        <v>381</v>
      </c>
      <c r="B31" s="146"/>
      <c r="C31" s="145" t="s">
        <v>398</v>
      </c>
      <c r="D31" s="145" t="s">
        <v>399</v>
      </c>
      <c r="E31" s="145" t="s">
        <v>265</v>
      </c>
      <c r="F31" s="146"/>
      <c r="G31" s="145" t="s">
        <v>362</v>
      </c>
      <c r="H31" s="147" t="s">
        <v>404</v>
      </c>
      <c r="I31" s="127"/>
      <c r="J31" s="127"/>
      <c r="K31" s="127"/>
    </row>
    <row r="32" spans="1:11" ht="15.95" customHeight="1">
      <c r="A32" s="145" t="s">
        <v>292</v>
      </c>
      <c r="B32" s="146"/>
      <c r="C32" s="146"/>
      <c r="D32" s="146"/>
      <c r="E32" s="146"/>
      <c r="F32" s="146"/>
      <c r="G32" s="146"/>
      <c r="H32" s="147" t="s">
        <v>405</v>
      </c>
      <c r="I32" s="127"/>
      <c r="J32" s="127"/>
      <c r="K32" s="127"/>
    </row>
    <row r="33" spans="1:11" ht="15.95" customHeight="1">
      <c r="A33" s="145" t="s">
        <v>382</v>
      </c>
      <c r="B33" s="146"/>
      <c r="C33" s="146"/>
      <c r="D33" s="146"/>
      <c r="E33" s="146"/>
      <c r="F33" s="146"/>
      <c r="G33" s="146"/>
      <c r="H33" s="147" t="s">
        <v>406</v>
      </c>
      <c r="I33" s="127"/>
      <c r="J33" s="127"/>
      <c r="K33" s="127"/>
    </row>
    <row r="34" spans="1:11" ht="15.95" customHeight="1">
      <c r="A34" s="145" t="s">
        <v>383</v>
      </c>
      <c r="B34" s="146"/>
      <c r="C34" s="146"/>
      <c r="D34" s="146"/>
      <c r="E34" s="146"/>
      <c r="F34" s="146"/>
      <c r="G34" s="146"/>
      <c r="H34" s="147" t="s">
        <v>407</v>
      </c>
      <c r="I34" s="127"/>
      <c r="J34" s="127"/>
      <c r="K34" s="127"/>
    </row>
    <row r="35" spans="1:11" ht="15.95" customHeight="1">
      <c r="A35" s="145" t="s">
        <v>394</v>
      </c>
      <c r="B35" s="146"/>
      <c r="C35" s="146"/>
      <c r="D35" s="146"/>
      <c r="E35" s="146"/>
      <c r="F35" s="146"/>
      <c r="G35" s="146"/>
      <c r="H35" s="147" t="s">
        <v>408</v>
      </c>
      <c r="I35" s="127"/>
      <c r="J35" s="127"/>
      <c r="K35" s="127"/>
    </row>
    <row r="36" spans="1:11" ht="15.95" customHeight="1">
      <c r="A36" s="145" t="s">
        <v>395</v>
      </c>
      <c r="B36" s="145" t="s">
        <v>196</v>
      </c>
      <c r="C36" s="145" t="s">
        <v>203</v>
      </c>
      <c r="D36" s="145" t="s">
        <v>400</v>
      </c>
      <c r="E36" s="145" t="s">
        <v>266</v>
      </c>
      <c r="F36" s="145" t="s">
        <v>357</v>
      </c>
      <c r="G36" s="145" t="s">
        <v>271</v>
      </c>
      <c r="H36" s="147" t="s">
        <v>409</v>
      </c>
      <c r="I36" s="127"/>
      <c r="J36" s="127"/>
      <c r="K36" s="127"/>
    </row>
    <row r="37" spans="1:11" ht="15.95" customHeight="1">
      <c r="A37" s="145" t="s">
        <v>396</v>
      </c>
      <c r="B37" s="146"/>
      <c r="C37" s="146"/>
      <c r="D37" s="146"/>
      <c r="E37" s="146"/>
      <c r="F37" s="146"/>
      <c r="G37" s="146"/>
      <c r="H37" s="147" t="s">
        <v>410</v>
      </c>
      <c r="I37" s="127"/>
      <c r="J37" s="127"/>
      <c r="K37" s="127"/>
    </row>
    <row r="38" spans="1:11" ht="15.95" customHeight="1">
      <c r="A38" s="145" t="s">
        <v>384</v>
      </c>
      <c r="B38" s="146"/>
      <c r="C38" s="146"/>
      <c r="D38" s="146"/>
      <c r="E38" s="146"/>
      <c r="F38" s="146"/>
      <c r="G38" s="146"/>
      <c r="H38" s="147" t="s">
        <v>411</v>
      </c>
      <c r="I38" s="127"/>
      <c r="J38" s="127"/>
      <c r="K38" s="127"/>
    </row>
    <row r="39" spans="1:11" ht="15.95" customHeight="1">
      <c r="A39" s="145" t="s">
        <v>385</v>
      </c>
      <c r="B39" s="146"/>
      <c r="C39" s="146"/>
      <c r="D39" s="146"/>
      <c r="E39" s="146"/>
      <c r="F39" s="146"/>
      <c r="G39" s="146"/>
      <c r="H39" s="147" t="s">
        <v>412</v>
      </c>
      <c r="I39" s="127"/>
      <c r="J39" s="127"/>
      <c r="K39" s="127"/>
    </row>
    <row r="40" spans="1:11" ht="15.95" customHeight="1">
      <c r="A40" s="145" t="s">
        <v>386</v>
      </c>
      <c r="B40" s="145" t="s">
        <v>196</v>
      </c>
      <c r="C40" s="145" t="s">
        <v>302</v>
      </c>
      <c r="D40" s="146"/>
      <c r="E40" s="145" t="s">
        <v>265</v>
      </c>
      <c r="F40" s="146"/>
      <c r="G40" s="145" t="s">
        <v>208</v>
      </c>
      <c r="H40" s="147" t="s">
        <v>413</v>
      </c>
      <c r="I40" s="127"/>
      <c r="J40" s="127"/>
      <c r="K40" s="127"/>
    </row>
    <row r="41" spans="1:11" ht="15.95" customHeight="1">
      <c r="A41" s="145" t="s">
        <v>387</v>
      </c>
      <c r="B41" s="145" t="s">
        <v>196</v>
      </c>
      <c r="C41" s="145" t="s">
        <v>256</v>
      </c>
      <c r="D41" s="146"/>
      <c r="E41" s="146"/>
      <c r="F41" s="146"/>
      <c r="G41" s="145" t="s">
        <v>208</v>
      </c>
      <c r="H41" s="147" t="s">
        <v>414</v>
      </c>
      <c r="I41" s="127"/>
      <c r="J41" s="127"/>
      <c r="K41" s="127"/>
    </row>
    <row r="42" spans="1:11" ht="15.95" customHeight="1">
      <c r="A42" s="145" t="s">
        <v>388</v>
      </c>
      <c r="B42" s="146"/>
      <c r="C42" s="146"/>
      <c r="D42" s="146"/>
      <c r="E42" s="146"/>
      <c r="F42" s="146"/>
      <c r="G42" s="146"/>
      <c r="H42" s="147" t="s">
        <v>415</v>
      </c>
      <c r="I42" s="127"/>
      <c r="J42" s="127"/>
      <c r="K42" s="127"/>
    </row>
    <row r="43" spans="1:11" ht="15.95" customHeight="1">
      <c r="A43" s="145" t="s">
        <v>389</v>
      </c>
      <c r="B43" s="146"/>
      <c r="C43" s="146"/>
      <c r="D43" s="146"/>
      <c r="E43" s="146"/>
      <c r="F43" s="146"/>
      <c r="G43" s="146"/>
      <c r="H43" s="147" t="s">
        <v>416</v>
      </c>
      <c r="I43" s="127"/>
      <c r="J43" s="127"/>
      <c r="K43" s="127"/>
    </row>
    <row r="44" spans="1:11" ht="15.95" customHeight="1">
      <c r="A44" s="145" t="s">
        <v>390</v>
      </c>
      <c r="B44" s="146"/>
      <c r="C44" s="146"/>
      <c r="D44" s="146"/>
      <c r="E44" s="146"/>
      <c r="F44" s="146"/>
      <c r="G44" s="146"/>
      <c r="H44" s="147" t="s">
        <v>417</v>
      </c>
      <c r="I44" s="127"/>
      <c r="J44" s="127"/>
      <c r="K44" s="127"/>
    </row>
    <row r="45" spans="1:11" ht="15.95" customHeight="1">
      <c r="A45" s="145" t="s">
        <v>391</v>
      </c>
      <c r="B45" s="146"/>
      <c r="C45" s="146"/>
      <c r="D45" s="146"/>
      <c r="E45" s="146"/>
      <c r="F45" s="146"/>
      <c r="G45" s="146"/>
      <c r="H45" s="147" t="s">
        <v>418</v>
      </c>
      <c r="I45" s="127"/>
      <c r="J45" s="127"/>
      <c r="K45" s="127"/>
    </row>
    <row r="46" spans="1:11" ht="15.95" customHeight="1">
      <c r="A46" s="145" t="s">
        <v>392</v>
      </c>
      <c r="B46" s="146"/>
      <c r="C46" s="146"/>
      <c r="D46" s="146"/>
      <c r="E46" s="146"/>
      <c r="F46" s="146"/>
      <c r="G46" s="146"/>
      <c r="H46" s="147" t="s">
        <v>419</v>
      </c>
      <c r="I46" s="127"/>
      <c r="J46" s="127"/>
      <c r="K46" s="127"/>
    </row>
    <row r="47" spans="1:11" ht="15.95" customHeight="1">
      <c r="A47" s="145" t="s">
        <v>393</v>
      </c>
      <c r="B47" s="146"/>
      <c r="C47" s="146"/>
      <c r="D47" s="146"/>
      <c r="E47" s="146"/>
      <c r="F47" s="146"/>
      <c r="G47" s="146"/>
      <c r="H47" s="147" t="s">
        <v>420</v>
      </c>
      <c r="I47" s="127"/>
      <c r="J47" s="127"/>
      <c r="K47" s="127"/>
    </row>
    <row r="48" spans="1:11" ht="15.95" customHeight="1">
      <c r="A48" s="146"/>
      <c r="B48" s="146"/>
      <c r="C48" s="146"/>
      <c r="D48" s="146"/>
      <c r="E48" s="146"/>
      <c r="F48" s="146"/>
      <c r="G48" s="146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3278</v>
      </c>
      <c r="D50" s="76" t="s">
        <v>107</v>
      </c>
      <c r="E50" s="42">
        <v>3280.2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1"/>
  <sheetViews>
    <sheetView topLeftCell="A26" workbookViewId="0">
      <selection activeCell="E50" sqref="E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146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133</v>
      </c>
      <c r="B3" s="45"/>
      <c r="C3" s="45"/>
      <c r="D3" s="45"/>
      <c r="E3" s="45"/>
      <c r="F3" s="45"/>
      <c r="G3" s="51"/>
      <c r="H3" s="45"/>
      <c r="I3" s="45"/>
      <c r="J3" s="46">
        <f>IF(I5="G",IF(ISBLANK(A4),J4,J4-F4),"")</f>
        <v>0.34837962962962965</v>
      </c>
      <c r="K3" s="45"/>
    </row>
    <row r="4" spans="1:11">
      <c r="A4" s="15"/>
      <c r="B4" s="48"/>
      <c r="C4" s="48" t="str">
        <f>IF(ISBLANK(A4),"",Plan_Speed)</f>
        <v/>
      </c>
      <c r="D4" s="48"/>
      <c r="E4" s="43" t="str">
        <f>IF(ISBLANK(A4),"",C4+D4)</f>
        <v/>
      </c>
      <c r="F4" s="44" t="str">
        <f>IF(ISBLANK(A4),"",(B4/E4)/24)</f>
        <v/>
      </c>
      <c r="G4" s="46" t="str">
        <f>IF(I5="G","",IF(ISBLANK(A4),"",G3+H3+F4))</f>
        <v/>
      </c>
      <c r="H4" s="52"/>
      <c r="I4" s="43"/>
      <c r="J4" s="46">
        <f>IF(I5="G",K5-F5-H4,"")</f>
        <v>0.34837962962962965</v>
      </c>
      <c r="K4" s="73"/>
    </row>
    <row r="5" spans="1:11">
      <c r="A5" s="42" t="s">
        <v>148</v>
      </c>
      <c r="B5" s="48">
        <v>23</v>
      </c>
      <c r="C5" s="48">
        <f>IF(ISBLANK(A5),"",Plan_Speed)</f>
        <v>8</v>
      </c>
      <c r="D5" s="48">
        <v>1</v>
      </c>
      <c r="E5" s="43">
        <f>IF(ISBLANK(A5),"",C5+D5)</f>
        <v>9</v>
      </c>
      <c r="F5" s="44">
        <f>IF(ISBLANK(A5),"",(B5/E5)/24)</f>
        <v>0.10648148148148147</v>
      </c>
      <c r="G5" s="46" t="str">
        <f>IF(I5="G","",IF(ISBLANK(A5),"",G4+H4+F5))</f>
        <v/>
      </c>
      <c r="H5" s="52"/>
      <c r="I5" s="72" t="s">
        <v>53</v>
      </c>
      <c r="J5" s="73">
        <f>IF(I5="G",K5,"")</f>
        <v>0.4548611111111111</v>
      </c>
      <c r="K5" s="52">
        <v>0.4548611111111111</v>
      </c>
    </row>
    <row r="6" spans="1:11">
      <c r="A6" s="15" t="s">
        <v>134</v>
      </c>
      <c r="B6" s="48">
        <f>48-23</f>
        <v>25</v>
      </c>
      <c r="C6" s="48">
        <f>IF(ISBLANK(A6),"",Plan_Speed)</f>
        <v>8</v>
      </c>
      <c r="D6" s="48">
        <v>2</v>
      </c>
      <c r="E6" s="43">
        <f>IF(ISBLANK(A6),"",C6+D6)</f>
        <v>10</v>
      </c>
      <c r="F6" s="44">
        <f>IF(ISBLANK(A6),"",(B6/E6)/24)</f>
        <v>0.10416666666666667</v>
      </c>
      <c r="G6" s="46" t="str">
        <f>IF(I5="G","",IF(ISBLANK(A6),"",G5+H5+F6))</f>
        <v/>
      </c>
      <c r="H6" s="52"/>
      <c r="I6" s="43"/>
      <c r="J6" s="46">
        <f>IF(ISBLANK(I5),"",IF(ISBLANK(A6),"",J5+H6+F6))</f>
        <v>0.55902777777777779</v>
      </c>
      <c r="K6" s="46"/>
    </row>
    <row r="7" spans="1:11">
      <c r="A7" s="41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92" t="s">
        <v>76</v>
      </c>
      <c r="B8">
        <f>SUM(B2:B7)</f>
        <v>48</v>
      </c>
      <c r="E8" s="67" t="s">
        <v>75</v>
      </c>
      <c r="F8" s="77">
        <f>SUM(F3:F7)</f>
        <v>0.21064814814814814</v>
      </c>
      <c r="G8" s="14" t="s">
        <v>147</v>
      </c>
    </row>
    <row r="9" spans="1:11">
      <c r="A9" s="92"/>
      <c r="E9" s="67"/>
      <c r="F9" s="77"/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22">
      <c r="A17" s="21"/>
      <c r="B17" s="16"/>
      <c r="C17" s="16"/>
      <c r="D17" s="16"/>
      <c r="E17" s="16"/>
      <c r="F17" s="22"/>
    </row>
    <row r="18" spans="1:22">
      <c r="A18" s="129"/>
      <c r="B18" s="122"/>
      <c r="C18" s="122"/>
      <c r="D18" s="122"/>
      <c r="E18" s="122"/>
      <c r="F18" s="121"/>
    </row>
    <row r="19" spans="1:22">
      <c r="A19" s="21"/>
      <c r="B19" s="16"/>
      <c r="C19" s="16"/>
      <c r="D19" s="16"/>
      <c r="E19" s="16"/>
      <c r="F19" s="22"/>
    </row>
    <row r="20" spans="1:22">
      <c r="A20" s="129"/>
      <c r="B20" s="122"/>
      <c r="C20" s="122"/>
      <c r="D20" s="122"/>
      <c r="E20" s="122"/>
      <c r="F20" s="121"/>
    </row>
    <row r="21" spans="1:22">
      <c r="A21" s="21"/>
      <c r="B21" s="16"/>
      <c r="C21" s="16"/>
      <c r="D21" s="16"/>
      <c r="E21" s="16"/>
      <c r="F21" s="22"/>
    </row>
    <row r="22" spans="1:22">
      <c r="A22" s="129"/>
      <c r="B22" s="122"/>
      <c r="C22" s="122"/>
      <c r="D22" s="122"/>
      <c r="E22" s="122"/>
      <c r="F22" s="121"/>
    </row>
    <row r="23" spans="1:22">
      <c r="A23" s="21"/>
      <c r="B23" s="16"/>
      <c r="C23" s="16"/>
      <c r="D23" s="16"/>
      <c r="E23" s="16"/>
      <c r="F23" s="22"/>
    </row>
    <row r="24" spans="1:22">
      <c r="A24" s="129"/>
      <c r="B24" s="122"/>
      <c r="C24" s="122"/>
      <c r="D24" s="122"/>
      <c r="E24" s="122"/>
      <c r="F24" s="121"/>
    </row>
    <row r="25" spans="1:22">
      <c r="A25" s="16"/>
      <c r="B25" s="16"/>
      <c r="C25" s="16"/>
      <c r="D25" s="16"/>
      <c r="E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>
      <c r="B26" s="16"/>
      <c r="C26" s="16"/>
      <c r="D26" s="16"/>
      <c r="E26" s="16"/>
      <c r="F26" s="16"/>
      <c r="G26" s="16"/>
      <c r="H26" s="16"/>
      <c r="I26" s="16"/>
      <c r="J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ht="15.95" customHeight="1">
      <c r="A29" s="145" t="s">
        <v>424</v>
      </c>
      <c r="B29" s="146"/>
      <c r="C29" s="146"/>
      <c r="D29" s="146"/>
      <c r="E29" s="146"/>
      <c r="F29" s="146"/>
      <c r="G29" s="146"/>
      <c r="H29" s="147" t="s">
        <v>450</v>
      </c>
      <c r="I29" s="127"/>
      <c r="J29" s="127"/>
      <c r="K29" s="12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.95" customHeight="1">
      <c r="A30" s="145" t="s">
        <v>425</v>
      </c>
      <c r="B30" s="145" t="s">
        <v>199</v>
      </c>
      <c r="C30" s="146"/>
      <c r="D30" s="146"/>
      <c r="E30" s="145" t="s">
        <v>266</v>
      </c>
      <c r="F30" s="145" t="s">
        <v>219</v>
      </c>
      <c r="G30" s="146"/>
      <c r="H30" s="147" t="s">
        <v>451</v>
      </c>
      <c r="I30" s="127"/>
      <c r="J30" s="127"/>
      <c r="K30" s="12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.95" customHeight="1">
      <c r="A31" s="145" t="s">
        <v>426</v>
      </c>
      <c r="B31" s="145" t="s">
        <v>198</v>
      </c>
      <c r="C31" s="145" t="s">
        <v>438</v>
      </c>
      <c r="D31" s="145" t="s">
        <v>441</v>
      </c>
      <c r="E31" s="145" t="s">
        <v>447</v>
      </c>
      <c r="F31" s="145" t="s">
        <v>219</v>
      </c>
      <c r="G31" s="145" t="s">
        <v>208</v>
      </c>
      <c r="H31" s="147" t="s">
        <v>452</v>
      </c>
      <c r="I31" s="127"/>
      <c r="J31" s="127"/>
      <c r="K31" s="12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.95" customHeight="1">
      <c r="A32" s="145" t="s">
        <v>427</v>
      </c>
      <c r="B32" s="145" t="s">
        <v>198</v>
      </c>
      <c r="C32" s="145" t="s">
        <v>205</v>
      </c>
      <c r="D32" s="145" t="s">
        <v>442</v>
      </c>
      <c r="E32" s="146"/>
      <c r="F32" s="146"/>
      <c r="G32" s="146"/>
      <c r="H32" s="147" t="s">
        <v>453</v>
      </c>
      <c r="I32" s="127"/>
      <c r="J32" s="127"/>
      <c r="K32" s="12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.95" customHeight="1">
      <c r="A33" s="145" t="s">
        <v>428</v>
      </c>
      <c r="B33" s="145" t="s">
        <v>198</v>
      </c>
      <c r="C33" s="145" t="s">
        <v>203</v>
      </c>
      <c r="D33" s="145" t="s">
        <v>353</v>
      </c>
      <c r="E33" s="145" t="s">
        <v>447</v>
      </c>
      <c r="F33" s="145" t="s">
        <v>219</v>
      </c>
      <c r="G33" s="145" t="s">
        <v>208</v>
      </c>
      <c r="H33" s="127"/>
      <c r="I33" s="127"/>
      <c r="J33" s="127"/>
      <c r="K33" s="12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.95" customHeight="1">
      <c r="A34" s="145" t="s">
        <v>248</v>
      </c>
      <c r="B34" s="145" t="s">
        <v>200</v>
      </c>
      <c r="C34" s="145" t="s">
        <v>302</v>
      </c>
      <c r="D34" s="145" t="s">
        <v>443</v>
      </c>
      <c r="E34" s="145" t="s">
        <v>447</v>
      </c>
      <c r="F34" s="145" t="s">
        <v>219</v>
      </c>
      <c r="G34" s="145" t="s">
        <v>208</v>
      </c>
      <c r="H34" s="147" t="s">
        <v>454</v>
      </c>
      <c r="I34" s="127"/>
      <c r="J34" s="127"/>
      <c r="K34" s="12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.95" customHeight="1">
      <c r="A35" s="145" t="s">
        <v>429</v>
      </c>
      <c r="B35" s="145" t="s">
        <v>196</v>
      </c>
      <c r="C35" s="145" t="s">
        <v>438</v>
      </c>
      <c r="D35" s="145" t="s">
        <v>212</v>
      </c>
      <c r="E35" s="145" t="s">
        <v>447</v>
      </c>
      <c r="F35" s="145" t="s">
        <v>448</v>
      </c>
      <c r="G35" s="145" t="s">
        <v>208</v>
      </c>
      <c r="H35" s="147" t="s">
        <v>455</v>
      </c>
      <c r="I35" s="127"/>
      <c r="J35" s="127"/>
      <c r="K35" s="12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.95" customHeight="1">
      <c r="A36" s="145" t="s">
        <v>430</v>
      </c>
      <c r="B36" s="145" t="s">
        <v>196</v>
      </c>
      <c r="C36" s="145" t="s">
        <v>439</v>
      </c>
      <c r="D36" s="145" t="s">
        <v>444</v>
      </c>
      <c r="E36" s="145" t="s">
        <v>447</v>
      </c>
      <c r="F36" s="145" t="s">
        <v>448</v>
      </c>
      <c r="G36" s="145" t="s">
        <v>208</v>
      </c>
      <c r="H36" s="147" t="s">
        <v>457</v>
      </c>
      <c r="I36" s="127"/>
      <c r="J36" s="127"/>
      <c r="K36" s="12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5.95" customHeight="1">
      <c r="A37" s="145" t="s">
        <v>431</v>
      </c>
      <c r="B37" s="146"/>
      <c r="C37" s="146"/>
      <c r="D37" s="146"/>
      <c r="E37" s="146"/>
      <c r="F37" s="146"/>
      <c r="G37" s="146"/>
      <c r="H37" s="147" t="s">
        <v>458</v>
      </c>
      <c r="I37" s="127"/>
      <c r="J37" s="127"/>
      <c r="K37" s="12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.95" customHeight="1">
      <c r="A38" s="145" t="s">
        <v>432</v>
      </c>
      <c r="B38" s="146"/>
      <c r="C38" s="146"/>
      <c r="D38" s="146"/>
      <c r="E38" s="146"/>
      <c r="F38" s="146"/>
      <c r="G38" s="146"/>
      <c r="H38" s="147" t="s">
        <v>456</v>
      </c>
      <c r="I38" s="127"/>
      <c r="J38" s="127"/>
      <c r="K38" s="12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5.95" customHeight="1">
      <c r="A39" s="145" t="s">
        <v>433</v>
      </c>
      <c r="B39" s="145" t="s">
        <v>200</v>
      </c>
      <c r="C39" s="145" t="s">
        <v>440</v>
      </c>
      <c r="D39" s="145" t="s">
        <v>445</v>
      </c>
      <c r="E39" s="145" t="s">
        <v>447</v>
      </c>
      <c r="F39" s="145" t="s">
        <v>448</v>
      </c>
      <c r="G39" s="145" t="s">
        <v>208</v>
      </c>
      <c r="H39" s="127"/>
      <c r="I39" s="127"/>
      <c r="J39" s="127"/>
      <c r="K39" s="127"/>
    </row>
    <row r="40" spans="1:22" ht="15.95" customHeight="1">
      <c r="A40" s="145" t="s">
        <v>434</v>
      </c>
      <c r="B40" s="145" t="s">
        <v>196</v>
      </c>
      <c r="C40" s="145" t="s">
        <v>303</v>
      </c>
      <c r="D40" s="145" t="s">
        <v>446</v>
      </c>
      <c r="E40" s="145" t="s">
        <v>447</v>
      </c>
      <c r="F40" s="145" t="s">
        <v>449</v>
      </c>
      <c r="G40" s="145" t="s">
        <v>208</v>
      </c>
      <c r="H40" s="147" t="s">
        <v>459</v>
      </c>
      <c r="I40" s="127"/>
      <c r="J40" s="127"/>
      <c r="K40" s="127"/>
    </row>
    <row r="41" spans="1:22" ht="15.95" customHeight="1">
      <c r="A41" s="145" t="s">
        <v>435</v>
      </c>
      <c r="B41" s="146"/>
      <c r="C41" s="146"/>
      <c r="D41" s="146"/>
      <c r="E41" s="146"/>
      <c r="F41" s="146"/>
      <c r="G41" s="146"/>
      <c r="H41" s="147" t="s">
        <v>460</v>
      </c>
      <c r="I41" s="127"/>
      <c r="J41" s="127"/>
      <c r="K41" s="127"/>
    </row>
    <row r="42" spans="1:22" ht="15.95" customHeight="1">
      <c r="A42" s="145" t="s">
        <v>436</v>
      </c>
      <c r="B42" s="146"/>
      <c r="C42" s="146"/>
      <c r="D42" s="146"/>
      <c r="E42" s="146"/>
      <c r="F42" s="146"/>
      <c r="G42" s="146"/>
      <c r="H42" s="147" t="s">
        <v>461</v>
      </c>
      <c r="I42" s="127"/>
      <c r="J42" s="127"/>
      <c r="K42" s="127"/>
    </row>
    <row r="43" spans="1:22" ht="15.95" customHeight="1">
      <c r="A43" s="145" t="s">
        <v>437</v>
      </c>
      <c r="B43" s="146"/>
      <c r="C43" s="146"/>
      <c r="D43" s="146"/>
      <c r="E43" s="146"/>
      <c r="F43" s="146"/>
      <c r="G43" s="146"/>
      <c r="H43" s="147" t="s">
        <v>462</v>
      </c>
      <c r="I43" s="127"/>
      <c r="J43" s="127"/>
      <c r="K43" s="127"/>
    </row>
    <row r="44" spans="1:22" ht="15.95" customHeight="1">
      <c r="A44" s="146"/>
      <c r="B44" s="146"/>
      <c r="C44" s="146"/>
      <c r="D44" s="146"/>
      <c r="E44" s="146"/>
      <c r="F44" s="146"/>
      <c r="G44" s="146"/>
      <c r="H44" s="127"/>
      <c r="I44" s="127"/>
      <c r="J44" s="127"/>
      <c r="K44" s="127"/>
    </row>
    <row r="45" spans="1:22" ht="15.95" customHeight="1">
      <c r="A45" s="146"/>
      <c r="B45" s="146"/>
      <c r="C45" s="146"/>
      <c r="D45" s="146"/>
      <c r="E45" s="146"/>
      <c r="F45" s="146"/>
      <c r="G45" s="146"/>
      <c r="H45" s="147" t="s">
        <v>463</v>
      </c>
      <c r="I45" s="127"/>
      <c r="J45" s="127"/>
      <c r="K45" s="127"/>
    </row>
    <row r="46" spans="1:22" ht="15.95" customHeight="1">
      <c r="A46" s="146"/>
      <c r="B46" s="146"/>
      <c r="C46" s="146"/>
      <c r="D46" s="146"/>
      <c r="E46" s="146"/>
      <c r="F46" s="146"/>
      <c r="G46" s="146"/>
      <c r="H46" s="127"/>
      <c r="I46" s="127"/>
      <c r="J46" s="127"/>
      <c r="K46" s="127"/>
    </row>
    <row r="47" spans="1:22" ht="15.95" customHeight="1">
      <c r="A47" s="146"/>
      <c r="B47" s="146"/>
      <c r="C47" s="146"/>
      <c r="D47" s="146"/>
      <c r="E47" s="146"/>
      <c r="F47" s="146"/>
      <c r="G47" s="146"/>
      <c r="H47" s="127"/>
      <c r="I47" s="127"/>
      <c r="J47" s="127"/>
      <c r="K47" s="127"/>
    </row>
    <row r="48" spans="1:22" ht="15.95" customHeight="1">
      <c r="A48" s="146"/>
      <c r="B48" s="146"/>
      <c r="C48" s="146"/>
      <c r="D48" s="146"/>
      <c r="E48" s="146"/>
      <c r="F48" s="146"/>
      <c r="G48" s="146"/>
      <c r="H48" s="127"/>
      <c r="I48" s="127"/>
      <c r="J48" s="127"/>
      <c r="K48" s="127"/>
    </row>
    <row r="50" spans="1:9">
      <c r="A50" s="1" t="s">
        <v>104</v>
      </c>
      <c r="B50" s="76" t="s">
        <v>106</v>
      </c>
      <c r="C50" s="42">
        <v>3285.3</v>
      </c>
      <c r="D50" s="76" t="s">
        <v>107</v>
      </c>
      <c r="E50" s="42">
        <v>3287.5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topLeftCell="A28" workbookViewId="0">
      <selection activeCell="F50" sqref="F50"/>
    </sheetView>
  </sheetViews>
  <sheetFormatPr defaultRowHeight="12.75"/>
  <cols>
    <col min="1" max="1" width="13.28515625" customWidth="1"/>
    <col min="2" max="11" width="8.7109375" customWidth="1"/>
  </cols>
  <sheetData>
    <row r="1" spans="1:11" ht="15">
      <c r="A1" s="37" t="s">
        <v>118</v>
      </c>
      <c r="G1" s="14" t="s">
        <v>66</v>
      </c>
      <c r="J1" s="74" t="s">
        <v>70</v>
      </c>
    </row>
    <row r="2" spans="1:11">
      <c r="A2" s="38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39" t="s">
        <v>51</v>
      </c>
      <c r="G2" s="39" t="s">
        <v>12</v>
      </c>
      <c r="H2" s="39" t="s">
        <v>59</v>
      </c>
      <c r="I2" s="39" t="s">
        <v>53</v>
      </c>
      <c r="J2" s="39" t="s">
        <v>52</v>
      </c>
      <c r="K2" s="39" t="s">
        <v>54</v>
      </c>
    </row>
    <row r="3" spans="1:11">
      <c r="A3" s="15" t="s">
        <v>134</v>
      </c>
      <c r="B3" s="45"/>
      <c r="C3" s="45"/>
      <c r="D3" s="45"/>
      <c r="E3" s="45"/>
      <c r="F3" s="45"/>
      <c r="G3" s="51">
        <v>0.375</v>
      </c>
      <c r="H3" s="45"/>
      <c r="I3" s="45"/>
      <c r="J3" s="46" t="str">
        <f>IF(I5="G",IF(ISBLANK(A4),J4,J4-F4),"")</f>
        <v/>
      </c>
      <c r="K3" s="45"/>
    </row>
    <row r="4" spans="1:11">
      <c r="A4" s="15" t="s">
        <v>135</v>
      </c>
      <c r="B4" s="48">
        <v>8</v>
      </c>
      <c r="C4" s="48">
        <f>IF(ISBLANK(A4),"",Plan_Speed)</f>
        <v>8</v>
      </c>
      <c r="D4" s="48"/>
      <c r="E4" s="43">
        <f>IF(ISBLANK(A4),"",C4+D4)</f>
        <v>8</v>
      </c>
      <c r="F4" s="44">
        <f>IF(ISBLANK(A4),"",(B4/E4)/24)</f>
        <v>4.1666666666666664E-2</v>
      </c>
      <c r="G4" s="46">
        <f>IF(I5="G","",IF(ISBLANK(A4),"",G3+H3+F4))</f>
        <v>0.41666666666666669</v>
      </c>
      <c r="H4" s="52"/>
      <c r="I4" s="43"/>
      <c r="J4" s="46" t="str">
        <f>IF(I5="G",K5-F5-H4,"")</f>
        <v/>
      </c>
      <c r="K4" s="46"/>
    </row>
    <row r="5" spans="1:11">
      <c r="A5" s="83"/>
      <c r="B5" s="91"/>
      <c r="C5" s="48" t="str">
        <f>IF(ISBLANK(A5),"",Plan_Speed)</f>
        <v/>
      </c>
      <c r="D5" s="48"/>
      <c r="E5" s="43" t="str">
        <f>IF(ISBLANK(A5),"",C5+D5)</f>
        <v/>
      </c>
      <c r="F5" s="44" t="str">
        <f>IF(ISBLANK(A5),"",(B5/E5)/24)</f>
        <v/>
      </c>
      <c r="G5" s="46" t="str">
        <f>IF(I5="G","",IF(ISBLANK(A5),"",G4+H4+F5))</f>
        <v/>
      </c>
      <c r="H5" s="52"/>
      <c r="I5" s="72"/>
      <c r="J5" s="73" t="str">
        <f>IF(I5="G",K5,"")</f>
        <v/>
      </c>
      <c r="K5" s="52"/>
    </row>
    <row r="6" spans="1:11">
      <c r="A6" s="42"/>
      <c r="B6" s="48"/>
      <c r="C6" s="48" t="str">
        <f>IF(ISBLANK(A6),"",Plan_Speed)</f>
        <v/>
      </c>
      <c r="D6" s="48"/>
      <c r="E6" s="43" t="str">
        <f>IF(ISBLANK(A6),"",C6+D6)</f>
        <v/>
      </c>
      <c r="F6" s="44" t="str">
        <f>IF(ISBLANK(A6),"",(B6/E6)/24)</f>
        <v/>
      </c>
      <c r="G6" s="46" t="str">
        <f>IF(I5="G","",IF(ISBLANK(A6),"",G5+H5+F6))</f>
        <v/>
      </c>
      <c r="H6" s="52"/>
      <c r="I6" s="43"/>
      <c r="J6" s="46" t="str">
        <f>IF(ISBLANK(I5),"",IF(ISBLANK(A6),"",J5+H6+F6))</f>
        <v/>
      </c>
      <c r="K6" s="46"/>
    </row>
    <row r="7" spans="1:11">
      <c r="A7" s="42"/>
      <c r="B7" s="48"/>
      <c r="C7" s="48" t="str">
        <f>IF(ISBLANK(A7),"",Plan_Speed)</f>
        <v/>
      </c>
      <c r="D7" s="48"/>
      <c r="E7" s="43" t="str">
        <f>IF(ISBLANK(A7),"",C7+D7)</f>
        <v/>
      </c>
      <c r="F7" s="44" t="str">
        <f>IF(ISBLANK(A7),"",(B7/E7)/24)</f>
        <v/>
      </c>
      <c r="G7" s="46" t="str">
        <f>IF(I5="G","",IF(ISBLANK(A7),"",G6+H6+F7))</f>
        <v/>
      </c>
      <c r="H7" s="52"/>
      <c r="I7" s="43"/>
      <c r="J7" s="46" t="str">
        <f>IF(ISBLANK(I5),"",IF(ISBLANK(A7),"",J6+H7+F7))</f>
        <v/>
      </c>
      <c r="K7" s="46"/>
    </row>
    <row r="8" spans="1:11">
      <c r="A8" s="42"/>
      <c r="B8" s="48"/>
      <c r="C8" s="48" t="str">
        <f>IF(ISBLANK(A8),"",Plan_Speed)</f>
        <v/>
      </c>
      <c r="D8" s="48"/>
      <c r="E8" s="43" t="str">
        <f>IF(ISBLANK(A8),"",C8+D8)</f>
        <v/>
      </c>
      <c r="F8" s="44" t="str">
        <f>IF(ISBLANK(A8),"",(B8/E8)/24)</f>
        <v/>
      </c>
      <c r="G8" s="46" t="str">
        <f>IF(I5="G","",IF(ISBLANK(A8),"",G6+H6+F8))</f>
        <v/>
      </c>
      <c r="H8" s="52"/>
      <c r="I8" s="43"/>
      <c r="J8" s="46" t="str">
        <f>IF(ISBLANK(I5),"",IF(ISBLANK(A8),"",J7+H8+F8))</f>
        <v/>
      </c>
      <c r="K8" s="46"/>
    </row>
    <row r="9" spans="1:11">
      <c r="A9" s="92" t="s">
        <v>76</v>
      </c>
      <c r="B9">
        <f>SUM(B2:B8)</f>
        <v>8</v>
      </c>
      <c r="E9" s="67" t="s">
        <v>75</v>
      </c>
      <c r="F9" s="77">
        <f>SUM(F3:F8)</f>
        <v>4.1666666666666664E-2</v>
      </c>
      <c r="H9" s="14" t="s">
        <v>149</v>
      </c>
    </row>
    <row r="10" spans="1:11">
      <c r="A10" s="97"/>
      <c r="E10" s="67"/>
      <c r="F10" s="77"/>
    </row>
    <row r="12" spans="1:11">
      <c r="A12" s="125" t="s">
        <v>105</v>
      </c>
      <c r="B12" s="122"/>
      <c r="C12" s="122"/>
      <c r="D12" s="122"/>
      <c r="E12" s="122"/>
      <c r="F12" s="122"/>
    </row>
    <row r="13" spans="1:11">
      <c r="A13" s="117"/>
      <c r="B13" s="130"/>
      <c r="C13" s="130"/>
      <c r="D13" s="130"/>
      <c r="E13" s="119"/>
      <c r="F13" s="118"/>
    </row>
    <row r="14" spans="1:11">
      <c r="A14" s="120"/>
      <c r="B14" s="128"/>
      <c r="C14" s="128"/>
      <c r="D14" s="128"/>
      <c r="E14" s="122"/>
      <c r="F14" s="121"/>
    </row>
    <row r="15" spans="1:11">
      <c r="A15" s="21"/>
      <c r="B15" s="16"/>
      <c r="C15" s="16"/>
      <c r="D15" s="16"/>
      <c r="E15" s="16"/>
      <c r="F15" s="22"/>
    </row>
    <row r="16" spans="1:11">
      <c r="A16" s="129"/>
      <c r="B16" s="122"/>
      <c r="C16" s="122"/>
      <c r="D16" s="122"/>
      <c r="E16" s="122"/>
      <c r="F16" s="121"/>
    </row>
    <row r="17" spans="1:11">
      <c r="A17" s="21"/>
      <c r="B17" s="16"/>
      <c r="C17" s="16"/>
      <c r="D17" s="16"/>
      <c r="E17" s="16"/>
      <c r="F17" s="22"/>
    </row>
    <row r="18" spans="1:11">
      <c r="A18" s="129"/>
      <c r="B18" s="122"/>
      <c r="C18" s="122"/>
      <c r="D18" s="122"/>
      <c r="E18" s="122"/>
      <c r="F18" s="121"/>
    </row>
    <row r="19" spans="1:11">
      <c r="A19" s="21"/>
      <c r="B19" s="16"/>
      <c r="C19" s="16"/>
      <c r="D19" s="16"/>
      <c r="E19" s="16"/>
      <c r="F19" s="22"/>
    </row>
    <row r="20" spans="1:11">
      <c r="A20" s="129"/>
      <c r="B20" s="122"/>
      <c r="C20" s="122"/>
      <c r="D20" s="122"/>
      <c r="E20" s="122"/>
      <c r="F20" s="121"/>
    </row>
    <row r="21" spans="1:11">
      <c r="A21" s="21"/>
      <c r="B21" s="16"/>
      <c r="C21" s="16"/>
      <c r="D21" s="16"/>
      <c r="E21" s="16"/>
      <c r="F21" s="22"/>
    </row>
    <row r="22" spans="1:11">
      <c r="A22" s="129"/>
      <c r="B22" s="122"/>
      <c r="C22" s="122"/>
      <c r="D22" s="122"/>
      <c r="E22" s="122"/>
      <c r="F22" s="121"/>
    </row>
    <row r="23" spans="1:11">
      <c r="A23" s="21"/>
      <c r="B23" s="16"/>
      <c r="C23" s="16"/>
      <c r="D23" s="16"/>
      <c r="E23" s="16"/>
      <c r="F23" s="22"/>
    </row>
    <row r="24" spans="1:11">
      <c r="A24" s="129"/>
      <c r="B24" s="122"/>
      <c r="C24" s="122"/>
      <c r="D24" s="122"/>
      <c r="E24" s="122"/>
      <c r="F24" s="121"/>
    </row>
    <row r="25" spans="1:11">
      <c r="A25" s="16"/>
      <c r="B25" s="16"/>
      <c r="C25" s="16"/>
      <c r="D25" s="16"/>
      <c r="E25" s="16"/>
    </row>
    <row r="26" spans="1:11">
      <c r="B26" s="16"/>
      <c r="C26" s="16"/>
      <c r="D26" s="16"/>
      <c r="E26" s="16"/>
      <c r="F26" s="16"/>
      <c r="G26" s="16"/>
      <c r="H26" s="16"/>
      <c r="I26" s="16"/>
      <c r="J26" s="16"/>
    </row>
    <row r="28" spans="1:11" s="125" customFormat="1">
      <c r="A28" s="125" t="s">
        <v>92</v>
      </c>
      <c r="B28" s="126" t="s">
        <v>31</v>
      </c>
      <c r="C28" s="126" t="s">
        <v>93</v>
      </c>
      <c r="D28" s="126" t="s">
        <v>94</v>
      </c>
      <c r="E28" s="126" t="s">
        <v>95</v>
      </c>
      <c r="F28" s="126" t="s">
        <v>96</v>
      </c>
      <c r="G28" s="126" t="s">
        <v>101</v>
      </c>
      <c r="H28" s="125" t="s">
        <v>102</v>
      </c>
    </row>
    <row r="29" spans="1:11" ht="15.95" customHeight="1">
      <c r="A29" s="145" t="s">
        <v>464</v>
      </c>
      <c r="B29" s="145" t="s">
        <v>199</v>
      </c>
      <c r="C29" s="146"/>
      <c r="D29" s="146"/>
      <c r="E29" s="145" t="s">
        <v>265</v>
      </c>
      <c r="F29" s="146"/>
      <c r="G29" s="146"/>
      <c r="H29" s="147" t="s">
        <v>489</v>
      </c>
      <c r="I29" s="127"/>
      <c r="J29" s="127"/>
      <c r="K29" s="127"/>
    </row>
    <row r="30" spans="1:11" ht="15.95" customHeight="1">
      <c r="A30" s="145" t="s">
        <v>465</v>
      </c>
      <c r="B30" s="145" t="s">
        <v>186</v>
      </c>
      <c r="C30" s="145" t="s">
        <v>476</v>
      </c>
      <c r="D30" s="145" t="s">
        <v>480</v>
      </c>
      <c r="E30" s="145" t="s">
        <v>265</v>
      </c>
      <c r="F30" s="146"/>
      <c r="G30" s="145" t="s">
        <v>362</v>
      </c>
      <c r="H30" s="147" t="s">
        <v>490</v>
      </c>
      <c r="I30" s="127"/>
      <c r="J30" s="127"/>
      <c r="K30" s="127"/>
    </row>
    <row r="31" spans="1:11" ht="15.95" customHeight="1">
      <c r="A31" s="145" t="s">
        <v>466</v>
      </c>
      <c r="B31" s="145" t="s">
        <v>200</v>
      </c>
      <c r="C31" s="145" t="s">
        <v>476</v>
      </c>
      <c r="D31" s="145" t="s">
        <v>481</v>
      </c>
      <c r="E31" s="145" t="s">
        <v>266</v>
      </c>
      <c r="F31" s="145" t="s">
        <v>487</v>
      </c>
      <c r="G31" s="145" t="s">
        <v>208</v>
      </c>
      <c r="H31" s="147" t="s">
        <v>491</v>
      </c>
      <c r="I31" s="127"/>
      <c r="J31" s="127"/>
      <c r="K31" s="127"/>
    </row>
    <row r="32" spans="1:11" ht="15.95" customHeight="1">
      <c r="A32" s="145" t="s">
        <v>467</v>
      </c>
      <c r="B32" s="145" t="s">
        <v>186</v>
      </c>
      <c r="C32" s="145" t="s">
        <v>477</v>
      </c>
      <c r="D32" s="145" t="s">
        <v>482</v>
      </c>
      <c r="E32" s="145" t="s">
        <v>265</v>
      </c>
      <c r="F32" s="146"/>
      <c r="G32" s="145" t="s">
        <v>208</v>
      </c>
      <c r="H32" s="147" t="s">
        <v>492</v>
      </c>
      <c r="I32" s="127"/>
      <c r="J32" s="127"/>
      <c r="K32" s="127"/>
    </row>
    <row r="33" spans="1:11" ht="15.95" customHeight="1">
      <c r="A33" s="145" t="s">
        <v>468</v>
      </c>
      <c r="B33" s="145" t="s">
        <v>198</v>
      </c>
      <c r="C33" s="145" t="s">
        <v>341</v>
      </c>
      <c r="D33" s="145" t="s">
        <v>483</v>
      </c>
      <c r="E33" s="145" t="s">
        <v>265</v>
      </c>
      <c r="F33" s="146"/>
      <c r="G33" s="145" t="s">
        <v>208</v>
      </c>
      <c r="H33" s="147" t="s">
        <v>493</v>
      </c>
      <c r="I33" s="127"/>
      <c r="J33" s="127"/>
      <c r="K33" s="127"/>
    </row>
    <row r="34" spans="1:11" ht="15.95" customHeight="1">
      <c r="A34" s="145" t="s">
        <v>469</v>
      </c>
      <c r="B34" s="146"/>
      <c r="C34" s="146"/>
      <c r="D34" s="146"/>
      <c r="E34" s="146"/>
      <c r="F34" s="146"/>
      <c r="G34" s="146"/>
      <c r="H34" s="147" t="s">
        <v>494</v>
      </c>
      <c r="I34" s="127"/>
      <c r="J34" s="127"/>
      <c r="K34" s="127"/>
    </row>
    <row r="35" spans="1:11" ht="15.95" customHeight="1">
      <c r="A35" s="146"/>
      <c r="B35" s="146"/>
      <c r="C35" s="146"/>
      <c r="D35" s="146"/>
      <c r="E35" s="146"/>
      <c r="F35" s="146"/>
      <c r="G35" s="146"/>
      <c r="H35" s="127"/>
      <c r="I35" s="127"/>
      <c r="J35" s="127"/>
      <c r="K35" s="127"/>
    </row>
    <row r="36" spans="1:11" ht="15.95" customHeight="1">
      <c r="A36" s="145" t="s">
        <v>470</v>
      </c>
      <c r="B36" s="146"/>
      <c r="C36" s="145" t="s">
        <v>301</v>
      </c>
      <c r="D36" s="146"/>
      <c r="E36" s="145" t="s">
        <v>486</v>
      </c>
      <c r="F36" s="145" t="s">
        <v>361</v>
      </c>
      <c r="G36" s="146"/>
      <c r="H36" s="147" t="s">
        <v>495</v>
      </c>
      <c r="I36" s="127"/>
      <c r="J36" s="127"/>
      <c r="K36" s="127"/>
    </row>
    <row r="37" spans="1:11" ht="15.95" customHeight="1">
      <c r="A37" s="145" t="s">
        <v>472</v>
      </c>
      <c r="B37" s="145" t="s">
        <v>200</v>
      </c>
      <c r="C37" s="145" t="s">
        <v>301</v>
      </c>
      <c r="D37" s="145" t="s">
        <v>484</v>
      </c>
      <c r="E37" s="145" t="s">
        <v>486</v>
      </c>
      <c r="F37" s="145" t="s">
        <v>488</v>
      </c>
      <c r="G37" s="145" t="s">
        <v>208</v>
      </c>
      <c r="H37" s="147" t="s">
        <v>496</v>
      </c>
      <c r="I37" s="127"/>
      <c r="J37" s="127"/>
      <c r="K37" s="127"/>
    </row>
    <row r="38" spans="1:11" ht="15.95" customHeight="1">
      <c r="A38" s="145" t="s">
        <v>473</v>
      </c>
      <c r="B38" s="145" t="s">
        <v>196</v>
      </c>
      <c r="C38" s="145" t="s">
        <v>478</v>
      </c>
      <c r="D38" s="145" t="s">
        <v>484</v>
      </c>
      <c r="E38" s="145" t="s">
        <v>486</v>
      </c>
      <c r="F38" s="145" t="s">
        <v>487</v>
      </c>
      <c r="G38" s="145" t="s">
        <v>208</v>
      </c>
      <c r="H38" s="147" t="s">
        <v>497</v>
      </c>
      <c r="I38" s="127"/>
      <c r="J38" s="127"/>
      <c r="K38" s="127"/>
    </row>
    <row r="39" spans="1:11" ht="15.95" customHeight="1">
      <c r="A39" s="145" t="s">
        <v>339</v>
      </c>
      <c r="B39" s="145" t="s">
        <v>200</v>
      </c>
      <c r="C39" s="145" t="s">
        <v>479</v>
      </c>
      <c r="D39" s="145" t="s">
        <v>485</v>
      </c>
      <c r="E39" s="145" t="s">
        <v>265</v>
      </c>
      <c r="F39" s="146"/>
      <c r="G39" s="145" t="s">
        <v>208</v>
      </c>
      <c r="H39" s="147" t="s">
        <v>498</v>
      </c>
      <c r="I39" s="127"/>
      <c r="J39" s="127"/>
      <c r="K39" s="127"/>
    </row>
    <row r="40" spans="1:11" ht="15.95" customHeight="1">
      <c r="A40" s="145" t="s">
        <v>474</v>
      </c>
      <c r="B40" s="146"/>
      <c r="C40" s="146"/>
      <c r="D40" s="146"/>
      <c r="E40" s="146"/>
      <c r="F40" s="146"/>
      <c r="G40" s="146"/>
      <c r="H40" s="147" t="s">
        <v>499</v>
      </c>
      <c r="I40" s="127"/>
      <c r="J40" s="127"/>
      <c r="K40" s="127"/>
    </row>
    <row r="41" spans="1:11" ht="15.95" customHeight="1">
      <c r="A41" s="145" t="s">
        <v>475</v>
      </c>
      <c r="B41" s="146"/>
      <c r="C41" s="146"/>
      <c r="D41" s="146"/>
      <c r="E41" s="146"/>
      <c r="F41" s="146"/>
      <c r="G41" s="146"/>
      <c r="H41" s="147" t="s">
        <v>500</v>
      </c>
      <c r="I41" s="127"/>
      <c r="J41" s="127"/>
      <c r="K41" s="127"/>
    </row>
    <row r="42" spans="1:11" ht="15.95" customHeight="1">
      <c r="A42" s="146"/>
      <c r="B42" s="146"/>
      <c r="C42" s="146"/>
      <c r="D42" s="146"/>
      <c r="E42" s="146"/>
      <c r="F42" s="146"/>
      <c r="G42" s="146"/>
      <c r="H42" s="127"/>
      <c r="I42" s="127"/>
      <c r="J42" s="127"/>
      <c r="K42" s="127"/>
    </row>
    <row r="43" spans="1:11" ht="15.95" customHeight="1">
      <c r="A43" s="146"/>
      <c r="B43" s="146"/>
      <c r="C43" s="146"/>
      <c r="D43" s="146"/>
      <c r="E43" s="146"/>
      <c r="F43" s="146"/>
      <c r="G43" s="146"/>
      <c r="H43" s="147" t="s">
        <v>501</v>
      </c>
      <c r="I43" s="127"/>
      <c r="J43" s="127"/>
      <c r="K43" s="127"/>
    </row>
    <row r="44" spans="1:11" ht="15.95" customHeight="1">
      <c r="A44" s="146"/>
      <c r="B44" s="146"/>
      <c r="C44" s="146"/>
      <c r="D44" s="146"/>
      <c r="E44" s="146"/>
      <c r="F44" s="146"/>
      <c r="G44" s="146"/>
      <c r="H44" s="147" t="s">
        <v>502</v>
      </c>
      <c r="I44" s="127"/>
      <c r="J44" s="127"/>
      <c r="K44" s="127"/>
    </row>
    <row r="45" spans="1:11" ht="15.95" customHeight="1">
      <c r="A45" s="146"/>
      <c r="B45" s="146"/>
      <c r="C45" s="146"/>
      <c r="D45" s="146"/>
      <c r="E45" s="146"/>
      <c r="F45" s="146"/>
      <c r="G45" s="146"/>
      <c r="H45" s="127"/>
      <c r="I45" s="127"/>
      <c r="J45" s="127"/>
      <c r="K45" s="127"/>
    </row>
    <row r="46" spans="1:11" ht="15.95" customHeight="1">
      <c r="A46" s="146"/>
      <c r="B46" s="146"/>
      <c r="C46" s="146"/>
      <c r="D46" s="146"/>
      <c r="E46" s="146"/>
      <c r="F46" s="146"/>
      <c r="G46" s="146"/>
      <c r="H46" s="147" t="s">
        <v>503</v>
      </c>
      <c r="I46" s="127"/>
      <c r="J46" s="127"/>
      <c r="K46" s="127"/>
    </row>
    <row r="47" spans="1:11" ht="15.95" customHeight="1">
      <c r="A47" s="146"/>
      <c r="B47" s="146"/>
      <c r="C47" s="146"/>
      <c r="D47" s="146"/>
      <c r="E47" s="146"/>
      <c r="F47" s="146"/>
      <c r="G47" s="146"/>
      <c r="H47" s="147" t="s">
        <v>504</v>
      </c>
      <c r="I47" s="127"/>
      <c r="J47" s="127"/>
      <c r="K47" s="127"/>
    </row>
    <row r="48" spans="1:11" ht="15.95" customHeight="1">
      <c r="A48" s="146"/>
      <c r="B48" s="146"/>
      <c r="C48" s="146"/>
      <c r="D48" s="146"/>
      <c r="E48" s="146"/>
      <c r="F48" s="146"/>
      <c r="G48" s="146"/>
      <c r="H48" s="147" t="s">
        <v>505</v>
      </c>
      <c r="I48" s="127"/>
      <c r="J48" s="127"/>
      <c r="K48" s="127"/>
    </row>
    <row r="49" spans="1:9">
      <c r="B49" s="14" t="s">
        <v>506</v>
      </c>
      <c r="E49">
        <v>3289.9</v>
      </c>
    </row>
    <row r="50" spans="1:9">
      <c r="A50" s="1" t="s">
        <v>104</v>
      </c>
      <c r="B50" s="76" t="s">
        <v>106</v>
      </c>
      <c r="C50" s="42">
        <v>3289.7</v>
      </c>
      <c r="D50" s="76" t="s">
        <v>107</v>
      </c>
      <c r="E50" s="42">
        <v>3291.8</v>
      </c>
      <c r="F50" s="16"/>
      <c r="G50" s="36"/>
      <c r="H50" s="131" t="s">
        <v>108</v>
      </c>
      <c r="I50" s="41"/>
    </row>
    <row r="51" spans="1:9">
      <c r="A51" s="1" t="s">
        <v>97</v>
      </c>
      <c r="B51" s="1" t="s">
        <v>103</v>
      </c>
      <c r="C51" s="38"/>
      <c r="D51" s="1" t="s">
        <v>98</v>
      </c>
      <c r="E51" s="38"/>
      <c r="F51" s="1" t="s">
        <v>99</v>
      </c>
      <c r="G51" s="38"/>
      <c r="H51" s="1" t="s">
        <v>100</v>
      </c>
      <c r="I51" s="41"/>
    </row>
  </sheetData>
  <printOptions horizontalCentered="1"/>
  <pageMargins left="0.2" right="0.2" top="0.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Summary Page</vt:lpstr>
      <vt:lpstr>Detail Route Page</vt:lpstr>
      <vt:lpstr>8-15</vt:lpstr>
      <vt:lpstr>8-16</vt:lpstr>
      <vt:lpstr>8-17</vt:lpstr>
      <vt:lpstr>8-18</vt:lpstr>
      <vt:lpstr>8-19</vt:lpstr>
      <vt:lpstr>8-20</vt:lpstr>
      <vt:lpstr>8-21</vt:lpstr>
      <vt:lpstr>8-22</vt:lpstr>
      <vt:lpstr>8-23</vt:lpstr>
      <vt:lpstr>8-24</vt:lpstr>
      <vt:lpstr>8-25</vt:lpstr>
      <vt:lpstr>8-26</vt:lpstr>
      <vt:lpstr>8-27</vt:lpstr>
      <vt:lpstr>8-28</vt:lpstr>
      <vt:lpstr>8-29</vt:lpstr>
      <vt:lpstr>8-30</vt:lpstr>
      <vt:lpstr>8-31</vt:lpstr>
      <vt:lpstr>9-1</vt:lpstr>
      <vt:lpstr>9-2</vt:lpstr>
      <vt:lpstr>9-3</vt:lpstr>
      <vt:lpstr>Extra</vt:lpstr>
      <vt:lpstr>Knots</vt:lpstr>
      <vt:lpstr>Plan_Speed</vt:lpstr>
      <vt:lpstr>'Detail Route Page'!Print_Area</vt:lpstr>
      <vt:lpstr>'Summary Page'!Print_Area</vt:lpstr>
    </vt:vector>
  </TitlesOfParts>
  <Company>Islander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Van Mell</dc:creator>
  <cp:lastModifiedBy>Rick Van Mell</cp:lastModifiedBy>
  <cp:lastPrinted>2021-08-13T21:53:35Z</cp:lastPrinted>
  <dcterms:created xsi:type="dcterms:W3CDTF">2010-08-04T22:52:06Z</dcterms:created>
  <dcterms:modified xsi:type="dcterms:W3CDTF">2021-09-02T23:06:14Z</dcterms:modified>
</cp:coreProperties>
</file>